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001"/>
  <workbookPr codeName="ThisWorkbook" defaultThemeVersion="124226"/>
  <mc:AlternateContent xmlns:mc="http://schemas.openxmlformats.org/markup-compatibility/2006">
    <mc:Choice Requires="x15">
      <x15ac:absPath xmlns:x15ac="http://schemas.microsoft.com/office/spreadsheetml/2010/11/ac" url="C:\Users\tamak\Desktop\"/>
    </mc:Choice>
  </mc:AlternateContent>
  <xr:revisionPtr revIDLastSave="0" documentId="8_{BCAE75F3-31B4-4ECB-8309-03C6B9CC82D3}" xr6:coauthVersionLast="38" xr6:coauthVersionMax="38" xr10:uidLastSave="{00000000-0000-0000-0000-000000000000}"/>
  <bookViews>
    <workbookView xWindow="120" yWindow="80" windowWidth="14960" windowHeight="8550" tabRatio="688" activeTab="1"/>
  </bookViews>
  <sheets>
    <sheet name="記入例" sheetId="13" r:id="rId1"/>
    <sheet name="日本精神保健看護学会　会計報告書" sheetId="12" r:id="rId2"/>
    <sheet name="DV-IDENTITY-0" sheetId="14" state="veryHidden" r:id="rId3"/>
  </sheets>
  <definedNames>
    <definedName name="_xlnm.Print_Titles" localSheetId="1">'日本精神保健看護学会　会計報告書'!$1:$7</definedName>
  </definedNames>
  <calcPr calcId="179021"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3" i="12" l="1"/>
  <c r="I33" i="13"/>
  <c r="A4" i="14"/>
  <c r="A3" i="14"/>
  <c r="B3" i="14"/>
  <c r="C3" i="14"/>
  <c r="D3" i="14"/>
  <c r="E3" i="14"/>
  <c r="F3" i="14"/>
  <c r="G3" i="14"/>
  <c r="H3" i="14"/>
  <c r="I3" i="14"/>
  <c r="J3" i="14"/>
  <c r="K3" i="14"/>
  <c r="L3" i="14"/>
  <c r="M3" i="14"/>
  <c r="N3" i="14"/>
  <c r="O3" i="14"/>
  <c r="P3" i="14"/>
  <c r="Q3" i="14"/>
  <c r="R3" i="14"/>
  <c r="S3" i="14"/>
  <c r="T3" i="14"/>
  <c r="U3" i="14"/>
  <c r="V3" i="14"/>
  <c r="W3" i="14"/>
  <c r="X3" i="14"/>
  <c r="Y3" i="14"/>
  <c r="Z3" i="14"/>
  <c r="AA3" i="14"/>
  <c r="AB3" i="14"/>
  <c r="AC3" i="14"/>
  <c r="AD3" i="14"/>
  <c r="AE3" i="14"/>
  <c r="AF3" i="14"/>
  <c r="AG3" i="14"/>
  <c r="AH3" i="14"/>
  <c r="AI3" i="14"/>
  <c r="AJ3" i="14"/>
  <c r="AK3" i="14"/>
  <c r="AL3" i="14"/>
  <c r="AM3" i="14"/>
  <c r="AN3" i="14"/>
  <c r="AO3" i="14"/>
  <c r="AP3" i="14"/>
  <c r="AQ3" i="14"/>
  <c r="AR3" i="14"/>
  <c r="AS3" i="14"/>
  <c r="AT3" i="14"/>
  <c r="AU3" i="14"/>
  <c r="AV3" i="14"/>
  <c r="AW3" i="14"/>
  <c r="AX3" i="14"/>
  <c r="AY3" i="14"/>
  <c r="AZ3" i="14"/>
  <c r="BA3" i="14"/>
  <c r="BB3" i="14"/>
  <c r="BC3" i="14"/>
  <c r="BD3" i="14"/>
  <c r="BE3" i="14"/>
  <c r="BF3" i="14"/>
  <c r="BG3" i="14"/>
  <c r="BH3" i="14"/>
  <c r="BI3" i="14"/>
  <c r="BJ3" i="14"/>
  <c r="BK3" i="14"/>
  <c r="BL3" i="14"/>
  <c r="BM3" i="14"/>
  <c r="BN3" i="14"/>
  <c r="BO3" i="14"/>
  <c r="BP3" i="14"/>
  <c r="BQ3" i="14"/>
  <c r="BR3" i="14"/>
  <c r="BS3" i="14"/>
  <c r="BT3" i="14"/>
  <c r="BU3" i="14"/>
  <c r="BV3" i="14"/>
  <c r="BW3" i="14"/>
  <c r="BX3" i="14"/>
  <c r="BY3" i="14"/>
  <c r="BZ3" i="14"/>
  <c r="CA3" i="14"/>
  <c r="CB3" i="14"/>
  <c r="CC3" i="14"/>
  <c r="CD3" i="14"/>
  <c r="CE3" i="14"/>
  <c r="CF3" i="14"/>
  <c r="CG3" i="14"/>
  <c r="CH3" i="14"/>
  <c r="CI3" i="14"/>
  <c r="CJ3" i="14"/>
  <c r="CK3" i="14"/>
  <c r="CL3" i="14"/>
  <c r="CM3" i="14"/>
  <c r="CN3" i="14"/>
  <c r="CO3" i="14"/>
  <c r="CP3" i="14"/>
  <c r="CQ3" i="14"/>
  <c r="CR3" i="14"/>
  <c r="CS3" i="14"/>
  <c r="CT3" i="14"/>
  <c r="CU3" i="14"/>
  <c r="CV3" i="14"/>
  <c r="CW3" i="14"/>
  <c r="CX3" i="14"/>
  <c r="CY3" i="14"/>
  <c r="CZ3" i="14"/>
  <c r="DA3" i="14"/>
  <c r="DB3" i="14"/>
  <c r="DC3" i="14"/>
  <c r="DD3" i="14"/>
  <c r="DE3" i="14"/>
  <c r="DF3" i="14"/>
  <c r="DG3" i="14"/>
  <c r="DH3" i="14"/>
  <c r="DI3" i="14"/>
  <c r="DJ3" i="14"/>
  <c r="DK3" i="14"/>
  <c r="DL3" i="14"/>
  <c r="DM3" i="14"/>
  <c r="DN3" i="14"/>
  <c r="DO3" i="14"/>
  <c r="DP3" i="14"/>
  <c r="DQ3" i="14"/>
  <c r="DR3" i="14"/>
  <c r="DS3" i="14"/>
  <c r="DT3" i="14"/>
  <c r="DU3" i="14"/>
  <c r="DV3" i="14"/>
  <c r="DW3" i="14"/>
  <c r="DX3" i="14"/>
  <c r="DY3" i="14"/>
  <c r="DZ3" i="14"/>
  <c r="EA3" i="14"/>
  <c r="EB3" i="14"/>
  <c r="EC3" i="14"/>
  <c r="ED3" i="14"/>
  <c r="EE3" i="14"/>
  <c r="EF3" i="14"/>
  <c r="EG3" i="14"/>
  <c r="EH3" i="14"/>
  <c r="EI3" i="14"/>
  <c r="EJ3" i="14"/>
  <c r="EK3" i="14"/>
  <c r="EL3" i="14"/>
  <c r="EM3" i="14"/>
  <c r="EN3" i="14"/>
  <c r="EO3" i="14"/>
  <c r="EP3" i="14"/>
  <c r="EQ3" i="14"/>
  <c r="ER3" i="14"/>
  <c r="ES3" i="14"/>
  <c r="ET3" i="14"/>
  <c r="EU3" i="14"/>
  <c r="EV3" i="14"/>
  <c r="EW3" i="14"/>
  <c r="EX3" i="14"/>
  <c r="EY3" i="14"/>
  <c r="EZ3" i="14"/>
  <c r="FA3" i="14"/>
  <c r="FB3" i="14"/>
  <c r="FC3" i="14"/>
  <c r="FD3" i="14"/>
  <c r="FE3" i="14"/>
  <c r="FF3" i="14"/>
  <c r="FG3" i="14"/>
  <c r="FH3" i="14"/>
  <c r="FI3" i="14"/>
  <c r="FJ3" i="14"/>
  <c r="FK3" i="14"/>
  <c r="FL3" i="14"/>
  <c r="FM3" i="14"/>
  <c r="FN3" i="14"/>
  <c r="FO3" i="14"/>
  <c r="FP3" i="14"/>
  <c r="FQ3" i="14"/>
  <c r="FR3" i="14"/>
  <c r="FS3" i="14"/>
  <c r="FT3" i="14"/>
  <c r="FU3" i="14"/>
  <c r="FV3" i="14"/>
  <c r="FW3" i="14"/>
  <c r="FX3" i="14"/>
  <c r="FY3" i="14"/>
  <c r="FZ3" i="14"/>
  <c r="GA3" i="14"/>
  <c r="GB3" i="14"/>
  <c r="GC3" i="14"/>
  <c r="GD3" i="14"/>
  <c r="GE3" i="14"/>
  <c r="GF3" i="14"/>
  <c r="GG3" i="14"/>
  <c r="GH3" i="14"/>
  <c r="GI3" i="14"/>
  <c r="GJ3" i="14"/>
  <c r="GK3" i="14"/>
  <c r="GL3" i="14"/>
  <c r="GM3" i="14"/>
  <c r="GN3" i="14"/>
  <c r="GO3" i="14"/>
  <c r="GP3" i="14"/>
  <c r="GQ3" i="14"/>
  <c r="GR3" i="14"/>
  <c r="GS3" i="14"/>
  <c r="GT3" i="14"/>
  <c r="GU3" i="14"/>
  <c r="GV3" i="14"/>
  <c r="GW3" i="14"/>
  <c r="GX3" i="14"/>
  <c r="GY3" i="14"/>
  <c r="GZ3" i="14"/>
  <c r="HA3" i="14"/>
  <c r="HB3" i="14"/>
  <c r="HC3" i="14"/>
  <c r="HD3" i="14"/>
  <c r="HE3" i="14"/>
  <c r="HF3" i="14"/>
  <c r="HG3" i="14"/>
  <c r="HH3" i="14"/>
  <c r="HI3" i="14"/>
  <c r="HJ3" i="14"/>
  <c r="HK3" i="14"/>
  <c r="HL3" i="14"/>
  <c r="HM3" i="14"/>
  <c r="HN3" i="14"/>
  <c r="HO3" i="14"/>
  <c r="HP3" i="14"/>
  <c r="HQ3" i="14"/>
  <c r="HR3" i="14"/>
  <c r="HS3" i="14"/>
  <c r="HT3" i="14"/>
  <c r="HU3" i="14"/>
  <c r="HV3" i="14"/>
  <c r="HW3" i="14"/>
  <c r="HX3" i="14"/>
  <c r="HY3" i="14"/>
  <c r="HZ3" i="14"/>
  <c r="IA3" i="14"/>
  <c r="IB3" i="14"/>
  <c r="IC3" i="14"/>
  <c r="ID3" i="14"/>
  <c r="IE3" i="14"/>
  <c r="IF3" i="14"/>
  <c r="IG3" i="14"/>
  <c r="IH3" i="14"/>
  <c r="II3" i="14"/>
  <c r="IJ3" i="14"/>
  <c r="IK3" i="14"/>
  <c r="IL3" i="14"/>
  <c r="IM3" i="14"/>
  <c r="IN3" i="14"/>
  <c r="IO3" i="14"/>
  <c r="IP3" i="14"/>
  <c r="IQ3" i="14"/>
  <c r="IR3" i="14"/>
  <c r="IS3" i="14"/>
  <c r="IT3" i="14"/>
  <c r="IU3" i="14"/>
  <c r="IV3" i="14"/>
  <c r="A2" i="14"/>
  <c r="B2" i="14"/>
  <c r="C2" i="14"/>
  <c r="D2" i="14"/>
  <c r="E2" i="14"/>
  <c r="F2" i="14"/>
  <c r="G2" i="14"/>
  <c r="H2" i="14"/>
  <c r="I2" i="14"/>
  <c r="J2" i="14"/>
  <c r="K2" i="14"/>
  <c r="L2" i="14"/>
  <c r="M2" i="14"/>
  <c r="N2" i="14"/>
  <c r="O2" i="14"/>
  <c r="P2" i="14"/>
  <c r="Q2" i="14"/>
  <c r="R2" i="14"/>
  <c r="S2" i="14"/>
  <c r="T2" i="14"/>
  <c r="U2" i="14"/>
  <c r="V2" i="14"/>
  <c r="W2" i="14"/>
  <c r="X2" i="14"/>
  <c r="Y2" i="14"/>
  <c r="Z2" i="14"/>
  <c r="AA2" i="14"/>
  <c r="AB2" i="14"/>
  <c r="AC2" i="14"/>
  <c r="AD2" i="14"/>
  <c r="AE2" i="14"/>
  <c r="AF2" i="14"/>
  <c r="AG2" i="14"/>
  <c r="AH2" i="14"/>
  <c r="AI2" i="14"/>
  <c r="AJ2" i="14"/>
  <c r="AK2" i="14"/>
  <c r="AL2" i="14"/>
  <c r="AM2" i="14"/>
  <c r="AN2" i="14"/>
  <c r="AO2" i="14"/>
  <c r="AP2" i="14"/>
  <c r="AQ2" i="14"/>
  <c r="AR2" i="14"/>
  <c r="AS2" i="14"/>
  <c r="AT2" i="14"/>
  <c r="AU2" i="14"/>
  <c r="AV2" i="14"/>
  <c r="AW2" i="14"/>
  <c r="AX2" i="14"/>
  <c r="AY2" i="14"/>
  <c r="AZ2" i="14"/>
  <c r="BA2" i="14"/>
  <c r="BB2" i="14"/>
  <c r="BC2" i="14"/>
  <c r="BD2" i="14"/>
  <c r="BE2" i="14"/>
  <c r="BF2" i="14"/>
  <c r="BG2" i="14"/>
  <c r="BH2" i="14"/>
  <c r="BI2" i="14"/>
  <c r="BJ2" i="14"/>
  <c r="BK2" i="14"/>
  <c r="BL2" i="14"/>
  <c r="BM2" i="14"/>
  <c r="BN2" i="14"/>
  <c r="BO2" i="14"/>
  <c r="BP2" i="14"/>
  <c r="BQ2" i="14"/>
  <c r="BR2" i="14"/>
  <c r="BS2" i="14"/>
  <c r="BT2" i="14"/>
  <c r="BU2" i="14"/>
  <c r="BV2" i="14"/>
  <c r="BW2" i="14"/>
  <c r="BX2" i="14"/>
  <c r="BY2" i="14"/>
  <c r="BZ2" i="14"/>
  <c r="CA2" i="14"/>
  <c r="CB2" i="14"/>
  <c r="CC2" i="14"/>
  <c r="CD2" i="14"/>
  <c r="CE2" i="14"/>
  <c r="CF2" i="14"/>
  <c r="CG2" i="14"/>
  <c r="CH2" i="14"/>
  <c r="CI2" i="14"/>
  <c r="CJ2" i="14"/>
  <c r="CK2" i="14"/>
  <c r="CL2" i="14"/>
  <c r="CM2" i="14"/>
  <c r="CN2" i="14"/>
  <c r="CO2" i="14"/>
  <c r="CP2" i="14"/>
  <c r="CQ2" i="14"/>
  <c r="CR2" i="14"/>
  <c r="CS2" i="14"/>
  <c r="CT2" i="14"/>
  <c r="CU2" i="14"/>
  <c r="CV2" i="14"/>
  <c r="CW2" i="14"/>
  <c r="CX2" i="14"/>
  <c r="CY2" i="14"/>
  <c r="CZ2" i="14"/>
  <c r="DA2" i="14"/>
  <c r="DB2" i="14"/>
  <c r="DC2" i="14"/>
  <c r="DD2" i="14"/>
  <c r="DE2" i="14"/>
  <c r="DF2" i="14"/>
  <c r="DG2" i="14"/>
  <c r="DH2" i="14"/>
  <c r="DI2" i="14"/>
  <c r="DJ2" i="14"/>
  <c r="DK2" i="14"/>
  <c r="DL2" i="14"/>
  <c r="DM2" i="14"/>
  <c r="DN2" i="14"/>
  <c r="DO2" i="14"/>
  <c r="DP2" i="14"/>
  <c r="DQ2" i="14"/>
  <c r="DR2" i="14"/>
  <c r="DS2" i="14"/>
  <c r="DT2" i="14"/>
  <c r="DU2" i="14"/>
  <c r="DV2" i="14"/>
  <c r="DW2" i="14"/>
  <c r="DX2" i="14"/>
  <c r="DY2" i="14"/>
  <c r="DZ2" i="14"/>
  <c r="EA2" i="14"/>
  <c r="EB2" i="14"/>
  <c r="EC2" i="14"/>
  <c r="ED2" i="14"/>
  <c r="EE2" i="14"/>
  <c r="EF2" i="14"/>
  <c r="EG2" i="14"/>
  <c r="EH2" i="14"/>
  <c r="EI2" i="14"/>
  <c r="EJ2" i="14"/>
  <c r="EK2" i="14"/>
  <c r="EL2" i="14"/>
  <c r="EM2" i="14"/>
  <c r="EN2" i="14"/>
  <c r="EO2" i="14"/>
  <c r="EP2" i="14"/>
  <c r="EQ2" i="14"/>
  <c r="ER2" i="14"/>
  <c r="ES2" i="14"/>
  <c r="ET2" i="14"/>
  <c r="EU2" i="14"/>
  <c r="EV2" i="14"/>
  <c r="EW2" i="14"/>
  <c r="EX2" i="14"/>
  <c r="EY2" i="14"/>
  <c r="EZ2" i="14"/>
  <c r="FA2" i="14"/>
  <c r="FB2" i="14"/>
  <c r="FC2" i="14"/>
  <c r="FD2" i="14"/>
  <c r="FE2" i="14"/>
  <c r="FF2" i="14"/>
  <c r="FG2" i="14"/>
  <c r="FH2" i="14"/>
  <c r="FI2" i="14"/>
  <c r="FJ2" i="14"/>
  <c r="FK2" i="14"/>
  <c r="FL2" i="14"/>
  <c r="FM2" i="14"/>
  <c r="FN2" i="14"/>
  <c r="FO2" i="14"/>
  <c r="FP2" i="14"/>
  <c r="FQ2" i="14"/>
  <c r="FR2" i="14"/>
  <c r="FS2" i="14"/>
  <c r="FT2" i="14"/>
  <c r="FU2" i="14"/>
  <c r="FV2" i="14"/>
  <c r="FW2" i="14"/>
  <c r="FX2" i="14"/>
  <c r="FY2" i="14"/>
  <c r="FZ2" i="14"/>
  <c r="GA2" i="14"/>
  <c r="GB2" i="14"/>
  <c r="GC2" i="14"/>
  <c r="GD2" i="14"/>
  <c r="GE2" i="14"/>
  <c r="GF2" i="14"/>
  <c r="GG2" i="14"/>
  <c r="GH2" i="14"/>
  <c r="GI2" i="14"/>
  <c r="GJ2" i="14"/>
  <c r="GK2" i="14"/>
  <c r="GL2" i="14"/>
  <c r="GM2" i="14"/>
  <c r="GN2" i="14"/>
  <c r="GO2" i="14"/>
  <c r="GP2" i="14"/>
  <c r="GQ2" i="14"/>
  <c r="GR2" i="14"/>
  <c r="GS2" i="14"/>
  <c r="GT2" i="14"/>
  <c r="GU2" i="14"/>
  <c r="GV2" i="14"/>
  <c r="GW2" i="14"/>
  <c r="GX2" i="14"/>
  <c r="GY2" i="14"/>
  <c r="GZ2" i="14"/>
  <c r="HA2" i="14"/>
  <c r="HB2" i="14"/>
  <c r="HC2" i="14"/>
  <c r="HD2" i="14"/>
  <c r="HE2" i="14"/>
  <c r="HF2" i="14"/>
  <c r="HG2" i="14"/>
  <c r="HH2" i="14"/>
  <c r="HI2" i="14"/>
  <c r="HJ2" i="14"/>
  <c r="HK2" i="14"/>
  <c r="HL2" i="14"/>
  <c r="HM2" i="14"/>
  <c r="HN2" i="14"/>
  <c r="HO2" i="14"/>
  <c r="HP2" i="14"/>
  <c r="HQ2" i="14"/>
  <c r="HR2" i="14"/>
  <c r="HS2" i="14"/>
  <c r="HT2" i="14"/>
  <c r="HU2" i="14"/>
  <c r="HV2" i="14"/>
  <c r="HW2" i="14"/>
  <c r="HX2" i="14"/>
  <c r="HY2" i="14"/>
  <c r="HZ2" i="14"/>
  <c r="IA2" i="14"/>
  <c r="IB2" i="14"/>
  <c r="IC2" i="14"/>
  <c r="ID2" i="14"/>
  <c r="IE2" i="14"/>
  <c r="IF2" i="14"/>
  <c r="IG2" i="14"/>
  <c r="IH2" i="14"/>
  <c r="II2" i="14"/>
  <c r="IJ2" i="14"/>
  <c r="IK2" i="14"/>
  <c r="IL2" i="14"/>
  <c r="IM2" i="14"/>
  <c r="IN2" i="14"/>
  <c r="IO2" i="14"/>
  <c r="IP2" i="14"/>
  <c r="IQ2" i="14"/>
  <c r="IR2" i="14"/>
  <c r="IS2" i="14"/>
  <c r="IT2" i="14"/>
  <c r="IU2" i="14"/>
  <c r="IV2" i="14"/>
  <c r="A1" i="14"/>
  <c r="B1" i="14"/>
  <c r="C1" i="14"/>
  <c r="D1" i="14"/>
  <c r="E1" i="14"/>
  <c r="F1" i="14"/>
  <c r="G1" i="14"/>
  <c r="H1" i="14"/>
  <c r="I1" i="14"/>
  <c r="J1" i="14"/>
  <c r="K1" i="14"/>
  <c r="L1" i="14"/>
  <c r="M1" i="14"/>
  <c r="N1" i="14"/>
  <c r="O1" i="14"/>
  <c r="P1" i="14"/>
  <c r="Q1" i="14"/>
  <c r="R1" i="14"/>
  <c r="S1" i="14"/>
  <c r="T1" i="14"/>
  <c r="U1" i="14"/>
  <c r="V1" i="14"/>
  <c r="W1" i="14"/>
  <c r="X1" i="14"/>
  <c r="Y1" i="14"/>
  <c r="Z1" i="14"/>
  <c r="AA1" i="14"/>
  <c r="AB1" i="14"/>
  <c r="AC1" i="14"/>
  <c r="AD1" i="14"/>
  <c r="AE1" i="14"/>
  <c r="AF1" i="14"/>
  <c r="AG1" i="14"/>
  <c r="AH1" i="14"/>
  <c r="AI1" i="14"/>
  <c r="AJ1" i="14"/>
  <c r="AK1" i="14"/>
  <c r="AL1" i="14"/>
  <c r="AM1" i="14"/>
  <c r="AN1" i="14"/>
  <c r="AO1" i="14"/>
  <c r="AP1" i="14"/>
  <c r="AQ1" i="14"/>
  <c r="AR1" i="14"/>
  <c r="AS1" i="14"/>
  <c r="AT1" i="14"/>
  <c r="AU1" i="14"/>
  <c r="AV1" i="14"/>
  <c r="AW1" i="14"/>
  <c r="AX1" i="14"/>
  <c r="AY1" i="14"/>
  <c r="AZ1" i="14"/>
  <c r="BA1" i="14"/>
  <c r="BB1" i="14"/>
  <c r="BC1" i="14"/>
  <c r="BD1" i="14"/>
  <c r="BE1" i="14"/>
  <c r="BF1" i="14"/>
  <c r="BG1" i="14"/>
  <c r="BH1" i="14"/>
  <c r="BI1" i="14"/>
  <c r="BJ1" i="14"/>
  <c r="BK1" i="14"/>
  <c r="BL1" i="14"/>
  <c r="BM1" i="14"/>
  <c r="BN1" i="14"/>
  <c r="BO1" i="14"/>
  <c r="BP1" i="14"/>
  <c r="BQ1" i="14"/>
  <c r="BR1" i="14"/>
  <c r="BS1" i="14"/>
  <c r="BT1" i="14"/>
  <c r="BU1" i="14"/>
  <c r="BV1" i="14"/>
  <c r="BW1" i="14"/>
  <c r="BX1" i="14"/>
  <c r="BY1" i="14"/>
  <c r="BZ1" i="14"/>
  <c r="CA1" i="14"/>
  <c r="CB1" i="14"/>
  <c r="CC1" i="14"/>
  <c r="CD1" i="14"/>
  <c r="CE1" i="14"/>
  <c r="CF1" i="14"/>
  <c r="CG1" i="14"/>
  <c r="CH1" i="14"/>
  <c r="CI1" i="14"/>
  <c r="CJ1" i="14"/>
  <c r="CK1" i="14"/>
  <c r="CL1" i="14"/>
  <c r="CM1" i="14"/>
  <c r="CN1" i="14"/>
  <c r="CO1" i="14"/>
  <c r="CP1" i="14"/>
  <c r="CQ1" i="14"/>
  <c r="CR1" i="14"/>
  <c r="CS1" i="14"/>
  <c r="CT1" i="14"/>
  <c r="CU1" i="14"/>
  <c r="CV1" i="14"/>
  <c r="CW1" i="14"/>
  <c r="CX1" i="14"/>
  <c r="CY1" i="14"/>
  <c r="CZ1" i="14"/>
  <c r="DA1" i="14"/>
  <c r="DB1" i="14"/>
  <c r="DC1" i="14"/>
  <c r="DD1" i="14"/>
  <c r="DE1" i="14"/>
  <c r="DF1" i="14"/>
  <c r="DG1" i="14"/>
  <c r="DH1" i="14"/>
  <c r="DI1" i="14"/>
  <c r="DJ1" i="14"/>
  <c r="DK1" i="14"/>
  <c r="DL1" i="14"/>
  <c r="DM1" i="14"/>
  <c r="DN1" i="14"/>
  <c r="DO1" i="14"/>
  <c r="DP1" i="14"/>
  <c r="DQ1" i="14"/>
  <c r="DR1" i="14"/>
  <c r="DS1" i="14"/>
  <c r="DT1" i="14"/>
  <c r="DU1" i="14"/>
  <c r="DV1" i="14"/>
  <c r="DW1" i="14"/>
  <c r="DX1" i="14"/>
  <c r="DY1" i="14"/>
  <c r="DZ1" i="14"/>
  <c r="EA1" i="14"/>
  <c r="EB1" i="14"/>
  <c r="EC1" i="14"/>
  <c r="ED1" i="14"/>
  <c r="EE1" i="14"/>
  <c r="EF1" i="14"/>
  <c r="EG1" i="14"/>
  <c r="EH1" i="14"/>
  <c r="EI1" i="14"/>
  <c r="EJ1" i="14"/>
  <c r="EK1" i="14"/>
  <c r="EL1" i="14"/>
  <c r="EM1" i="14"/>
  <c r="EN1" i="14"/>
  <c r="EO1" i="14"/>
  <c r="EP1" i="14"/>
  <c r="EQ1" i="14"/>
  <c r="ER1" i="14"/>
  <c r="ES1" i="14"/>
  <c r="ET1" i="14"/>
  <c r="EU1" i="14"/>
  <c r="EV1" i="14"/>
  <c r="EW1" i="14"/>
  <c r="EX1" i="14"/>
  <c r="EY1" i="14"/>
  <c r="EZ1" i="14"/>
  <c r="FA1" i="14"/>
  <c r="FB1" i="14"/>
  <c r="FC1" i="14"/>
  <c r="FD1" i="14"/>
  <c r="FE1" i="14"/>
  <c r="FF1" i="14"/>
  <c r="FG1" i="14"/>
  <c r="FH1" i="14"/>
  <c r="FI1" i="14"/>
  <c r="FJ1" i="14"/>
  <c r="FK1" i="14"/>
  <c r="FL1" i="14"/>
  <c r="FM1" i="14"/>
  <c r="FN1" i="14"/>
  <c r="FO1" i="14"/>
  <c r="FP1" i="14"/>
  <c r="FQ1" i="14"/>
  <c r="FR1" i="14"/>
  <c r="FS1" i="14"/>
  <c r="FT1" i="14"/>
  <c r="FU1" i="14"/>
  <c r="FV1" i="14"/>
  <c r="FW1" i="14"/>
  <c r="FX1" i="14"/>
  <c r="FY1" i="14"/>
  <c r="FZ1" i="14"/>
  <c r="GA1" i="14"/>
  <c r="GB1" i="14"/>
  <c r="GC1" i="14"/>
  <c r="GD1" i="14"/>
  <c r="GE1" i="14"/>
  <c r="GF1" i="14"/>
  <c r="GG1" i="14"/>
  <c r="GH1" i="14"/>
  <c r="GI1" i="14"/>
  <c r="GJ1" i="14"/>
  <c r="GK1" i="14"/>
  <c r="GL1" i="14"/>
  <c r="GM1" i="14"/>
  <c r="GN1" i="14"/>
  <c r="GO1" i="14"/>
  <c r="GP1" i="14"/>
  <c r="GQ1" i="14"/>
  <c r="GR1" i="14"/>
  <c r="GS1" i="14"/>
  <c r="GT1" i="14"/>
  <c r="GU1" i="14"/>
  <c r="GV1" i="14"/>
  <c r="GW1" i="14"/>
  <c r="GX1" i="14"/>
  <c r="GY1" i="14"/>
  <c r="GZ1" i="14"/>
  <c r="HA1" i="14"/>
  <c r="HB1" i="14"/>
  <c r="HC1" i="14"/>
  <c r="HD1" i="14"/>
  <c r="HE1" i="14"/>
  <c r="HF1" i="14"/>
  <c r="HG1" i="14"/>
  <c r="HH1" i="14"/>
  <c r="HI1" i="14"/>
  <c r="HJ1" i="14"/>
  <c r="HK1" i="14"/>
  <c r="HL1" i="14"/>
  <c r="HM1" i="14"/>
  <c r="HN1" i="14"/>
  <c r="HO1" i="14"/>
  <c r="HP1" i="14"/>
  <c r="HQ1" i="14"/>
  <c r="HR1" i="14"/>
  <c r="HS1" i="14"/>
  <c r="HT1" i="14"/>
  <c r="HU1" i="14"/>
  <c r="HV1" i="14"/>
  <c r="HW1" i="14"/>
  <c r="HX1" i="14"/>
  <c r="HY1" i="14"/>
  <c r="HZ1" i="14"/>
  <c r="IA1" i="14"/>
  <c r="IB1" i="14"/>
  <c r="IC1" i="14"/>
  <c r="ID1" i="14"/>
  <c r="IE1" i="14"/>
  <c r="IF1" i="14"/>
  <c r="IG1" i="14"/>
  <c r="IH1" i="14"/>
  <c r="II1" i="14"/>
  <c r="IJ1" i="14"/>
  <c r="IK1" i="14"/>
  <c r="IL1" i="14"/>
  <c r="IM1" i="14"/>
  <c r="IN1" i="14"/>
  <c r="IO1" i="14"/>
  <c r="IP1" i="14"/>
  <c r="IQ1" i="14"/>
  <c r="IR1" i="14"/>
  <c r="IS1" i="14"/>
  <c r="IT1" i="14"/>
  <c r="IU1" i="14"/>
  <c r="IV1" i="14"/>
  <c r="K8" i="12"/>
  <c r="K9" i="12"/>
  <c r="K10" i="12"/>
  <c r="K11" i="12"/>
  <c r="K12" i="12"/>
  <c r="K13" i="12"/>
  <c r="K14" i="12"/>
  <c r="K15" i="12"/>
  <c r="K9" i="13"/>
  <c r="K10" i="13"/>
  <c r="K11" i="13"/>
  <c r="K12" i="13"/>
  <c r="K13" i="13"/>
</calcChain>
</file>

<file path=xl/sharedStrings.xml><?xml version="1.0" encoding="utf-8"?>
<sst xmlns="http://schemas.openxmlformats.org/spreadsheetml/2006/main" count="64" uniqueCount="37">
  <si>
    <t>年</t>
    <rPh sb="0" eb="1">
      <t>ネン</t>
    </rPh>
    <phoneticPr fontId="1"/>
  </si>
  <si>
    <t>月</t>
    <rPh sb="0" eb="1">
      <t>ツキ</t>
    </rPh>
    <phoneticPr fontId="1"/>
  </si>
  <si>
    <t>日</t>
    <rPh sb="0" eb="1">
      <t>ヒ</t>
    </rPh>
    <phoneticPr fontId="1"/>
  </si>
  <si>
    <t>内容</t>
    <rPh sb="0" eb="2">
      <t>ナイヨウ</t>
    </rPh>
    <phoneticPr fontId="1"/>
  </si>
  <si>
    <t>引出</t>
    <rPh sb="0" eb="2">
      <t>ヒキダシ</t>
    </rPh>
    <phoneticPr fontId="1"/>
  </si>
  <si>
    <t>残高</t>
    <rPh sb="0" eb="2">
      <t>ザンダカ</t>
    </rPh>
    <phoneticPr fontId="1"/>
  </si>
  <si>
    <t>支出目的</t>
    <rPh sb="0" eb="2">
      <t>シシュツ</t>
    </rPh>
    <rPh sb="2" eb="4">
      <t>モクテキ</t>
    </rPh>
    <phoneticPr fontId="1"/>
  </si>
  <si>
    <t>相手先</t>
    <rPh sb="0" eb="3">
      <t>アイテサキ</t>
    </rPh>
    <phoneticPr fontId="1"/>
  </si>
  <si>
    <t>合計</t>
    <rPh sb="0" eb="2">
      <t>ゴウケイ</t>
    </rPh>
    <phoneticPr fontId="1"/>
  </si>
  <si>
    <t>領収証　　　No.</t>
    <rPh sb="0" eb="3">
      <t>リョウシュウショウ</t>
    </rPh>
    <phoneticPr fontId="1"/>
  </si>
  <si>
    <t>助成金額</t>
    <rPh sb="0" eb="2">
      <t>ジョセイ</t>
    </rPh>
    <rPh sb="2" eb="4">
      <t>キンガク</t>
    </rPh>
    <phoneticPr fontId="1"/>
  </si>
  <si>
    <t>共同研究者との会議　交通費</t>
    <rPh sb="0" eb="2">
      <t>キョウドウ</t>
    </rPh>
    <rPh sb="2" eb="5">
      <t>ケンキュウシャ</t>
    </rPh>
    <rPh sb="7" eb="9">
      <t>カイギ</t>
    </rPh>
    <rPh sb="10" eb="13">
      <t>コウツウヒ</t>
    </rPh>
    <phoneticPr fontId="1"/>
  </si>
  <si>
    <t>○○鉄道株式会社</t>
    <rPh sb="2" eb="4">
      <t>テツドウ</t>
    </rPh>
    <rPh sb="4" eb="8">
      <t>カブシキガイシャ</t>
    </rPh>
    <phoneticPr fontId="1"/>
  </si>
  <si>
    <t>○○駅～○○駅（往復運賃）</t>
    <rPh sb="2" eb="3">
      <t>エキ</t>
    </rPh>
    <rPh sb="6" eb="7">
      <t>エキ</t>
    </rPh>
    <rPh sb="8" eb="10">
      <t>オウフク</t>
    </rPh>
    <rPh sb="10" eb="12">
      <t>ウンチン</t>
    </rPh>
    <phoneticPr fontId="1"/>
  </si>
  <si>
    <t>共同研究者との会議　会議室料</t>
    <rPh sb="0" eb="2">
      <t>キョウドウ</t>
    </rPh>
    <rPh sb="2" eb="5">
      <t>ケンキュウシャ</t>
    </rPh>
    <rPh sb="7" eb="9">
      <t>カイギ</t>
    </rPh>
    <rPh sb="10" eb="13">
      <t>カイギシツ</t>
    </rPh>
    <rPh sb="13" eb="14">
      <t>リョウ</t>
    </rPh>
    <phoneticPr fontId="1"/>
  </si>
  <si>
    <t>調査研究の消耗品費</t>
    <rPh sb="0" eb="2">
      <t>チョウサ</t>
    </rPh>
    <rPh sb="2" eb="4">
      <t>ケンキュウ</t>
    </rPh>
    <rPh sb="5" eb="7">
      <t>ショウモウ</t>
    </rPh>
    <rPh sb="7" eb="8">
      <t>ヒン</t>
    </rPh>
    <rPh sb="8" eb="9">
      <t>ヒ</t>
    </rPh>
    <phoneticPr fontId="1"/>
  </si>
  <si>
    <t>○○文具店</t>
    <rPh sb="2" eb="4">
      <t>ブング</t>
    </rPh>
    <rPh sb="4" eb="5">
      <t>テン</t>
    </rPh>
    <phoneticPr fontId="1"/>
  </si>
  <si>
    <t>インク、コピー用紙</t>
    <rPh sb="7" eb="9">
      <t>ヨウシ</t>
    </rPh>
    <phoneticPr fontId="1"/>
  </si>
  <si>
    <r>
      <t>ページ　　　</t>
    </r>
    <r>
      <rPr>
        <sz val="12"/>
        <color indexed="10"/>
        <rFont val="メイリオ"/>
        <family val="3"/>
        <charset val="128"/>
      </rPr>
      <t>1</t>
    </r>
    <phoneticPr fontId="1"/>
  </si>
  <si>
    <t>-</t>
    <phoneticPr fontId="1"/>
  </si>
  <si>
    <t>費目</t>
    <rPh sb="0" eb="2">
      <t>ヒモク</t>
    </rPh>
    <phoneticPr fontId="1"/>
  </si>
  <si>
    <t>費目一覧</t>
    <rPh sb="0" eb="2">
      <t>ヒモク</t>
    </rPh>
    <rPh sb="2" eb="4">
      <t>イチラン</t>
    </rPh>
    <phoneticPr fontId="1"/>
  </si>
  <si>
    <t>④人件費・謝金</t>
    <phoneticPr fontId="1"/>
  </si>
  <si>
    <t>② 資料・印刷費</t>
    <rPh sb="5" eb="7">
      <t>インサツ</t>
    </rPh>
    <rPh sb="7" eb="8">
      <t>ヒ</t>
    </rPh>
    <phoneticPr fontId="1"/>
  </si>
  <si>
    <t>⑤ 会議費</t>
    <phoneticPr fontId="1"/>
  </si>
  <si>
    <t>③ 旅費・交通費</t>
    <rPh sb="5" eb="7">
      <t>コウツウ</t>
    </rPh>
    <rPh sb="7" eb="8">
      <t>ヒ</t>
    </rPh>
    <phoneticPr fontId="1"/>
  </si>
  <si>
    <t>① 物品購入費</t>
    <rPh sb="4" eb="7">
      <t>コウニュウヒ</t>
    </rPh>
    <phoneticPr fontId="1"/>
  </si>
  <si>
    <r>
      <t>　</t>
    </r>
    <r>
      <rPr>
        <b/>
        <u/>
        <sz val="12"/>
        <rFont val="メイリオ"/>
        <family val="3"/>
        <charset val="128"/>
      </rPr>
      <t>申請者　</t>
    </r>
    <r>
      <rPr>
        <b/>
        <u/>
        <sz val="12"/>
        <color indexed="10"/>
        <rFont val="メイリオ"/>
        <family val="3"/>
        <charset val="128"/>
      </rPr>
      <t>　○○</t>
    </r>
    <r>
      <rPr>
        <u/>
        <sz val="14"/>
        <color indexed="10"/>
        <rFont val="メイリオ"/>
        <family val="3"/>
        <charset val="128"/>
      </rPr>
      <t>　○○</t>
    </r>
    <r>
      <rPr>
        <b/>
        <u/>
        <sz val="12"/>
        <color indexed="10"/>
        <rFont val="メイリオ"/>
        <family val="3"/>
        <charset val="128"/>
      </rPr>
      <t>　</t>
    </r>
    <r>
      <rPr>
        <b/>
        <u/>
        <sz val="12"/>
        <rFont val="メイリオ"/>
        <family val="3"/>
        <charset val="128"/>
      </rPr>
      <t>　　</t>
    </r>
    <r>
      <rPr>
        <b/>
        <u/>
        <sz val="12"/>
        <color indexed="10"/>
        <rFont val="メイリオ"/>
        <family val="3"/>
        <charset val="128"/>
      </rPr>
      <t>㊞　</t>
    </r>
    <rPh sb="1" eb="4">
      <t>シンセイシャ</t>
    </rPh>
    <phoneticPr fontId="1"/>
  </si>
  <si>
    <t>一般社団法人日本精神保健看護学会研究助成事業　会計報告書</t>
    <rPh sb="0" eb="2">
      <t>イッパン</t>
    </rPh>
    <rPh sb="2" eb="4">
      <t>シャダン</t>
    </rPh>
    <rPh sb="4" eb="6">
      <t>ホウジン</t>
    </rPh>
    <rPh sb="6" eb="8">
      <t>ニホン</t>
    </rPh>
    <rPh sb="16" eb="18">
      <t>ケンキュウ</t>
    </rPh>
    <rPh sb="18" eb="20">
      <t>ジョセイ</t>
    </rPh>
    <rPh sb="20" eb="22">
      <t>ジギョウ</t>
    </rPh>
    <phoneticPr fontId="1"/>
  </si>
  <si>
    <t>一般社団法人日本精神保健看護学会研究助成事業　会計報告書</t>
    <phoneticPr fontId="1"/>
  </si>
  <si>
    <t>費目合計一覧</t>
    <rPh sb="0" eb="2">
      <t>ヒモク</t>
    </rPh>
    <rPh sb="2" eb="4">
      <t>ゴウケイ</t>
    </rPh>
    <rPh sb="4" eb="6">
      <t>イチラン</t>
    </rPh>
    <phoneticPr fontId="1"/>
  </si>
  <si>
    <t>合計額</t>
    <rPh sb="0" eb="2">
      <t>ゴウケイ</t>
    </rPh>
    <rPh sb="2" eb="3">
      <t>ガク</t>
    </rPh>
    <phoneticPr fontId="1"/>
  </si>
  <si>
    <t>一般社団法人　日本精神保健看護学会　御中</t>
    <rPh sb="7" eb="9">
      <t>ニホン</t>
    </rPh>
    <rPh sb="18" eb="20">
      <t>オンチュウ</t>
    </rPh>
    <phoneticPr fontId="1"/>
  </si>
  <si>
    <t>一般社団法人　日本精神保健看護学会　御中</t>
    <rPh sb="18" eb="20">
      <t>オンチュウ</t>
    </rPh>
    <phoneticPr fontId="1"/>
  </si>
  <si>
    <t>⑤ 会議費</t>
  </si>
  <si>
    <t>○○○ビル　5階</t>
    <rPh sb="7" eb="8">
      <t>カイ</t>
    </rPh>
    <phoneticPr fontId="1"/>
  </si>
  <si>
    <t>会議室料</t>
    <rPh sb="0" eb="3">
      <t>カイギシツ</t>
    </rPh>
    <rPh sb="3" eb="4">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</si>
</sst>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font>
      <sz val="11"/>
      <name val="ＭＳ Ｐゴシック"/>
      <family val="3"/>
      <charset val="128"/>
    </font>
    <font>
      <sz val="6"/>
      <name val="ＭＳ Ｐゴシック"/>
      <family val="3"/>
      <charset val="128"/>
    </font>
    <font>
      <sz val="11"/>
      <name val="メイリオ"/>
      <family val="3"/>
      <charset val="128"/>
    </font>
    <font>
      <b/>
      <sz val="12"/>
      <name val="メイリオ"/>
      <family val="3"/>
      <charset val="128"/>
    </font>
    <font>
      <b/>
      <u/>
      <sz val="20"/>
      <name val="メイリオ"/>
      <family val="3"/>
      <charset val="128"/>
    </font>
    <font>
      <b/>
      <u/>
      <sz val="12"/>
      <name val="メイリオ"/>
      <family val="3"/>
      <charset val="128"/>
    </font>
    <font>
      <sz val="16"/>
      <color indexed="10"/>
      <name val="メイリオ"/>
      <family val="3"/>
      <charset val="128"/>
    </font>
    <font>
      <sz val="12"/>
      <name val="メイリオ"/>
      <family val="3"/>
      <charset val="128"/>
    </font>
    <font>
      <b/>
      <sz val="11"/>
      <name val="メイリオ"/>
      <family val="3"/>
      <charset val="128"/>
    </font>
    <font>
      <u/>
      <sz val="11"/>
      <name val="メイリオ"/>
      <family val="3"/>
      <charset val="128"/>
    </font>
    <font>
      <sz val="12"/>
      <color indexed="10"/>
      <name val="メイリオ"/>
      <family val="3"/>
      <charset val="128"/>
    </font>
    <font>
      <b/>
      <sz val="9"/>
      <name val="メイリオ"/>
      <family val="3"/>
      <charset val="128"/>
    </font>
    <font>
      <sz val="11"/>
      <color indexed="10"/>
      <name val="メイリオ"/>
      <family val="3"/>
      <charset val="128"/>
    </font>
    <font>
      <b/>
      <sz val="16"/>
      <name val="メイリオ"/>
      <family val="3"/>
      <charset val="128"/>
    </font>
    <font>
      <b/>
      <sz val="10"/>
      <name val="メイリオ"/>
      <family val="3"/>
      <charset val="128"/>
    </font>
    <font>
      <b/>
      <u/>
      <sz val="12"/>
      <color indexed="10"/>
      <name val="メイリオ"/>
      <family val="3"/>
      <charset val="128"/>
    </font>
    <font>
      <b/>
      <u/>
      <sz val="12"/>
      <color indexed="10"/>
      <name val="メイリオ"/>
      <family val="3"/>
      <charset val="128"/>
    </font>
    <font>
      <u/>
      <sz val="14"/>
      <color indexed="10"/>
      <name val="メイリオ"/>
      <family val="3"/>
      <charset val="128"/>
    </font>
    <font>
      <sz val="11"/>
      <color rgb="FFFF0000"/>
      <name val="メイリオ"/>
      <family val="3"/>
      <charset val="128"/>
    </font>
    <font>
      <sz val="12"/>
      <color theme="1"/>
      <name val="Arial Unicode MS"/>
      <family val="3"/>
      <charset val="128"/>
    </font>
    <font>
      <sz val="10"/>
      <color rgb="FFFF0000"/>
      <name val="メイリオ"/>
      <family val="3"/>
      <charset val="128"/>
    </font>
  </fonts>
  <fills count="2">
    <fill>
      <patternFill patternType="none"/>
    </fill>
    <fill>
      <patternFill patternType="gray125"/>
    </fill>
  </fills>
  <borders count="46">
    <border>
      <left/>
      <right/>
      <top/>
      <bottom/>
      <diagonal/>
    </border>
    <border>
      <left/>
      <right/>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right style="thin">
        <color indexed="64"/>
      </right>
      <top style="double">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thin">
        <color indexed="64"/>
      </right>
      <top style="medium">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120">
    <xf numFmtId="0" fontId="0" fillId="0" borderId="0" xfId="0"/>
    <xf numFmtId="176" fontId="2" fillId="0" borderId="0" xfId="0" applyNumberFormat="1" applyFont="1"/>
    <xf numFmtId="176" fontId="3" fillId="0" borderId="0" xfId="0" applyNumberFormat="1" applyFont="1" applyAlignment="1"/>
    <xf numFmtId="176" fontId="4" fillId="0" borderId="0" xfId="0" applyNumberFormat="1" applyFont="1" applyAlignment="1"/>
    <xf numFmtId="176" fontId="4" fillId="0" borderId="0" xfId="0" applyNumberFormat="1"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xf>
    <xf numFmtId="176" fontId="7" fillId="0" borderId="0" xfId="0" applyNumberFormat="1" applyFont="1" applyBorder="1" applyAlignment="1"/>
    <xf numFmtId="176" fontId="8" fillId="0" borderId="0" xfId="0" applyNumberFormat="1" applyFont="1" applyAlignment="1">
      <alignment vertical="center"/>
    </xf>
    <xf numFmtId="176" fontId="2" fillId="0" borderId="0" xfId="0" applyNumberFormat="1" applyFont="1" applyAlignment="1">
      <alignment vertical="center"/>
    </xf>
    <xf numFmtId="176" fontId="2" fillId="0" borderId="0" xfId="0" applyNumberFormat="1" applyFont="1" applyBorder="1" applyAlignment="1">
      <alignment horizontal="right" vertical="center"/>
    </xf>
    <xf numFmtId="176" fontId="3" fillId="0" borderId="1" xfId="0" applyNumberFormat="1" applyFont="1" applyBorder="1" applyAlignment="1"/>
    <xf numFmtId="176" fontId="8" fillId="0" borderId="2" xfId="0" applyNumberFormat="1" applyFont="1" applyBorder="1" applyAlignment="1">
      <alignment horizontal="distributed" vertical="center"/>
    </xf>
    <xf numFmtId="176" fontId="2" fillId="0" borderId="0" xfId="0" applyNumberFormat="1" applyFont="1" applyAlignment="1">
      <alignment horizontal="distributed" vertical="center"/>
    </xf>
    <xf numFmtId="176" fontId="8" fillId="0" borderId="3" xfId="0" applyNumberFormat="1" applyFont="1" applyBorder="1" applyAlignment="1">
      <alignment horizontal="distributed" vertical="center"/>
    </xf>
    <xf numFmtId="176" fontId="8" fillId="0" borderId="4" xfId="0" applyNumberFormat="1" applyFont="1" applyBorder="1" applyAlignment="1">
      <alignment horizontal="distributed" vertical="center"/>
    </xf>
    <xf numFmtId="176" fontId="12" fillId="0" borderId="5" xfId="0" applyNumberFormat="1" applyFont="1" applyBorder="1" applyAlignment="1">
      <alignment vertical="center"/>
    </xf>
    <xf numFmtId="176" fontId="12" fillId="0" borderId="6" xfId="0" applyNumberFormat="1" applyFont="1" applyBorder="1" applyAlignment="1">
      <alignment vertical="center"/>
    </xf>
    <xf numFmtId="176" fontId="12" fillId="0" borderId="6" xfId="0" applyNumberFormat="1" applyFont="1" applyBorder="1" applyAlignment="1">
      <alignment vertical="center" shrinkToFit="1"/>
    </xf>
    <xf numFmtId="176" fontId="12" fillId="0" borderId="7" xfId="0" applyNumberFormat="1" applyFont="1" applyBorder="1" applyAlignment="1">
      <alignment horizontal="center" vertical="center"/>
    </xf>
    <xf numFmtId="176" fontId="12" fillId="0" borderId="7" xfId="0" applyNumberFormat="1" applyFont="1" applyBorder="1" applyAlignment="1">
      <alignment vertical="center"/>
    </xf>
    <xf numFmtId="176" fontId="12" fillId="0" borderId="8" xfId="0" applyNumberFormat="1" applyFont="1" applyBorder="1" applyAlignment="1">
      <alignment vertical="center"/>
    </xf>
    <xf numFmtId="176" fontId="12" fillId="0" borderId="9" xfId="0" applyNumberFormat="1" applyFont="1" applyBorder="1" applyAlignment="1">
      <alignment vertical="center"/>
    </xf>
    <xf numFmtId="176" fontId="12" fillId="0" borderId="9" xfId="0" applyNumberFormat="1" applyFont="1" applyBorder="1" applyAlignment="1">
      <alignment vertical="center" shrinkToFit="1"/>
    </xf>
    <xf numFmtId="176" fontId="12" fillId="0" borderId="10" xfId="0" applyNumberFormat="1" applyFont="1" applyBorder="1" applyAlignment="1">
      <alignment horizontal="center" vertical="center"/>
    </xf>
    <xf numFmtId="176" fontId="12" fillId="0" borderId="10" xfId="0" applyNumberFormat="1" applyFont="1" applyBorder="1" applyAlignment="1">
      <alignment vertical="center"/>
    </xf>
    <xf numFmtId="176" fontId="12" fillId="0" borderId="11" xfId="0" applyNumberFormat="1" applyFont="1" applyBorder="1" applyAlignment="1">
      <alignment vertical="center"/>
    </xf>
    <xf numFmtId="176" fontId="12" fillId="0" borderId="12" xfId="0" applyNumberFormat="1" applyFont="1" applyBorder="1" applyAlignment="1">
      <alignment horizontal="center" vertical="center"/>
    </xf>
    <xf numFmtId="176" fontId="12" fillId="0" borderId="12" xfId="0" applyNumberFormat="1" applyFont="1" applyBorder="1" applyAlignment="1">
      <alignment vertical="center"/>
    </xf>
    <xf numFmtId="176" fontId="2" fillId="0" borderId="5" xfId="0" applyNumberFormat="1" applyFont="1" applyBorder="1" applyAlignment="1">
      <alignment vertical="center"/>
    </xf>
    <xf numFmtId="176" fontId="2" fillId="0" borderId="9" xfId="0" applyNumberFormat="1" applyFont="1" applyBorder="1" applyAlignment="1">
      <alignment vertical="center"/>
    </xf>
    <xf numFmtId="176" fontId="2" fillId="0" borderId="12" xfId="0" applyNumberFormat="1" applyFont="1" applyBorder="1" applyAlignment="1">
      <alignment horizontal="center" vertical="center"/>
    </xf>
    <xf numFmtId="176" fontId="2" fillId="0" borderId="12" xfId="0" applyNumberFormat="1" applyFont="1" applyBorder="1" applyAlignment="1">
      <alignment vertical="center"/>
    </xf>
    <xf numFmtId="176" fontId="2" fillId="0" borderId="11" xfId="0" applyNumberFormat="1" applyFont="1" applyBorder="1" applyAlignment="1">
      <alignment vertical="center"/>
    </xf>
    <xf numFmtId="176" fontId="2" fillId="0" borderId="9" xfId="0" applyNumberFormat="1" applyFont="1" applyBorder="1" applyAlignment="1">
      <alignment vertical="center" shrinkToFit="1"/>
    </xf>
    <xf numFmtId="176" fontId="2" fillId="0" borderId="13" xfId="0" applyNumberFormat="1" applyFont="1" applyBorder="1" applyAlignment="1">
      <alignment vertical="center"/>
    </xf>
    <xf numFmtId="176" fontId="2" fillId="0" borderId="14" xfId="0" applyNumberFormat="1" applyFont="1" applyBorder="1" applyAlignment="1">
      <alignment vertical="center"/>
    </xf>
    <xf numFmtId="176" fontId="2" fillId="0" borderId="14" xfId="0" applyNumberFormat="1" applyFont="1" applyBorder="1" applyAlignment="1">
      <alignment vertical="center" shrinkToFit="1"/>
    </xf>
    <xf numFmtId="176" fontId="2" fillId="0" borderId="15" xfId="0" applyNumberFormat="1" applyFont="1" applyBorder="1" applyAlignment="1">
      <alignment horizontal="center" vertical="center"/>
    </xf>
    <xf numFmtId="176" fontId="2" fillId="0" borderId="15" xfId="0" applyNumberFormat="1" applyFont="1" applyBorder="1" applyAlignment="1">
      <alignment vertical="center"/>
    </xf>
    <xf numFmtId="176" fontId="2" fillId="0" borderId="16" xfId="0" applyNumberFormat="1" applyFont="1" applyBorder="1" applyAlignment="1">
      <alignment vertical="center"/>
    </xf>
    <xf numFmtId="176" fontId="2" fillId="0" borderId="17" xfId="0" applyNumberFormat="1" applyFont="1" applyBorder="1" applyAlignment="1">
      <alignment vertical="center"/>
    </xf>
    <xf numFmtId="176" fontId="2" fillId="0" borderId="18" xfId="0" applyNumberFormat="1" applyFont="1" applyBorder="1" applyAlignment="1">
      <alignment vertical="center"/>
    </xf>
    <xf numFmtId="176" fontId="8" fillId="0" borderId="18" xfId="0" applyNumberFormat="1" applyFont="1" applyBorder="1" applyAlignment="1">
      <alignment vertical="center" shrinkToFit="1"/>
    </xf>
    <xf numFmtId="176" fontId="2" fillId="0" borderId="19" xfId="0" applyNumberFormat="1" applyFont="1" applyBorder="1" applyAlignment="1">
      <alignment horizontal="center" vertical="center"/>
    </xf>
    <xf numFmtId="176" fontId="2" fillId="0" borderId="19" xfId="0" applyNumberFormat="1" applyFont="1" applyBorder="1" applyAlignment="1">
      <alignment vertical="center"/>
    </xf>
    <xf numFmtId="176" fontId="2" fillId="0" borderId="20" xfId="0" applyNumberFormat="1" applyFont="1" applyBorder="1" applyAlignment="1">
      <alignment vertical="center"/>
    </xf>
    <xf numFmtId="176" fontId="3" fillId="0" borderId="0" xfId="0" applyNumberFormat="1" applyFont="1" applyBorder="1" applyAlignment="1"/>
    <xf numFmtId="176" fontId="2" fillId="0" borderId="21" xfId="0" applyNumberFormat="1" applyFont="1" applyBorder="1" applyAlignment="1">
      <alignment vertical="center"/>
    </xf>
    <xf numFmtId="176" fontId="2" fillId="0" borderId="22" xfId="0" applyNumberFormat="1" applyFont="1" applyBorder="1" applyAlignment="1">
      <alignment vertical="center"/>
    </xf>
    <xf numFmtId="176" fontId="2" fillId="0" borderId="22" xfId="0" applyNumberFormat="1" applyFont="1" applyBorder="1" applyAlignment="1">
      <alignment vertical="center" shrinkToFit="1"/>
    </xf>
    <xf numFmtId="176" fontId="2" fillId="0" borderId="23" xfId="0" applyNumberFormat="1" applyFont="1" applyBorder="1" applyAlignment="1">
      <alignment horizontal="center" vertical="center"/>
    </xf>
    <xf numFmtId="176" fontId="2" fillId="0" borderId="23" xfId="0" applyNumberFormat="1" applyFont="1" applyBorder="1" applyAlignment="1">
      <alignment vertical="center"/>
    </xf>
    <xf numFmtId="176" fontId="2" fillId="0" borderId="24" xfId="0" applyNumberFormat="1" applyFont="1" applyBorder="1" applyAlignment="1">
      <alignment vertical="center"/>
    </xf>
    <xf numFmtId="176" fontId="2" fillId="0" borderId="25" xfId="0" applyNumberFormat="1" applyFont="1" applyBorder="1" applyAlignment="1">
      <alignment vertical="center"/>
    </xf>
    <xf numFmtId="176" fontId="2" fillId="0" borderId="10" xfId="0" applyNumberFormat="1" applyFont="1" applyBorder="1" applyAlignment="1">
      <alignment horizontal="center" vertical="center"/>
    </xf>
    <xf numFmtId="176" fontId="2" fillId="0" borderId="10" xfId="0" applyNumberFormat="1" applyFont="1" applyBorder="1" applyAlignment="1">
      <alignment vertical="center"/>
    </xf>
    <xf numFmtId="176" fontId="14" fillId="0" borderId="0" xfId="0" applyNumberFormat="1" applyFont="1" applyAlignment="1">
      <alignment vertical="center"/>
    </xf>
    <xf numFmtId="176" fontId="11" fillId="0" borderId="0" xfId="0" applyNumberFormat="1" applyFont="1" applyAlignment="1">
      <alignment vertical="center"/>
    </xf>
    <xf numFmtId="0" fontId="8" fillId="0" borderId="26" xfId="0" applyNumberFormat="1" applyFont="1" applyBorder="1" applyAlignment="1">
      <alignment vertical="center" shrinkToFit="1"/>
    </xf>
    <xf numFmtId="0" fontId="2" fillId="0" borderId="5" xfId="0" applyNumberFormat="1" applyFont="1" applyBorder="1" applyAlignment="1">
      <alignment horizontal="center" vertical="center" shrinkToFit="1"/>
    </xf>
    <xf numFmtId="176" fontId="2" fillId="0" borderId="9" xfId="0" applyNumberFormat="1" applyFont="1" applyBorder="1" applyAlignment="1">
      <alignment horizontal="center" vertical="center"/>
    </xf>
    <xf numFmtId="0" fontId="18" fillId="0" borderId="5" xfId="0" applyNumberFormat="1" applyFont="1" applyBorder="1" applyAlignment="1">
      <alignment horizontal="center" vertical="center" shrinkToFit="1"/>
    </xf>
    <xf numFmtId="176" fontId="18" fillId="0" borderId="9" xfId="0" applyNumberFormat="1" applyFont="1" applyBorder="1" applyAlignment="1">
      <alignment horizontal="center" vertical="center"/>
    </xf>
    <xf numFmtId="176" fontId="18" fillId="0" borderId="9" xfId="0" applyNumberFormat="1" applyFont="1" applyBorder="1" applyAlignment="1">
      <alignment vertical="center" shrinkToFit="1"/>
    </xf>
    <xf numFmtId="176" fontId="18" fillId="0" borderId="12" xfId="0" applyNumberFormat="1" applyFont="1" applyBorder="1" applyAlignment="1">
      <alignment horizontal="center" vertical="center"/>
    </xf>
    <xf numFmtId="176" fontId="18" fillId="0" borderId="11" xfId="0" applyNumberFormat="1" applyFont="1" applyBorder="1" applyAlignment="1">
      <alignment vertical="center"/>
    </xf>
    <xf numFmtId="176" fontId="18" fillId="0" borderId="0" xfId="0" applyNumberFormat="1" applyFont="1" applyAlignment="1">
      <alignment vertical="center"/>
    </xf>
    <xf numFmtId="176" fontId="18" fillId="0" borderId="5" xfId="0" applyNumberFormat="1" applyFont="1" applyBorder="1" applyAlignment="1">
      <alignment vertical="center"/>
    </xf>
    <xf numFmtId="176" fontId="18" fillId="0" borderId="9" xfId="0" applyNumberFormat="1" applyFont="1" applyBorder="1" applyAlignment="1">
      <alignment vertical="center"/>
    </xf>
    <xf numFmtId="176" fontId="18" fillId="0" borderId="12" xfId="0" applyNumberFormat="1" applyFont="1" applyBorder="1" applyAlignment="1">
      <alignment vertical="center"/>
    </xf>
    <xf numFmtId="0" fontId="19" fillId="0" borderId="27" xfId="0" applyFont="1" applyBorder="1" applyAlignment="1">
      <alignment horizontal="left" vertical="center" wrapText="1"/>
    </xf>
    <xf numFmtId="176" fontId="19" fillId="0" borderId="27" xfId="0" applyNumberFormat="1" applyFont="1" applyBorder="1" applyAlignment="1">
      <alignment horizontal="center" vertical="center"/>
    </xf>
    <xf numFmtId="176" fontId="8" fillId="0" borderId="27" xfId="0" applyNumberFormat="1" applyFont="1" applyBorder="1" applyAlignment="1">
      <alignment horizontal="center" vertical="center"/>
    </xf>
    <xf numFmtId="176" fontId="20" fillId="0" borderId="9" xfId="0" applyNumberFormat="1" applyFont="1" applyBorder="1" applyAlignment="1">
      <alignment vertical="center" wrapText="1"/>
    </xf>
    <xf numFmtId="176" fontId="8" fillId="0" borderId="35" xfId="0" applyNumberFormat="1" applyFont="1" applyBorder="1" applyAlignment="1">
      <alignment horizontal="center" vertical="center"/>
    </xf>
    <xf numFmtId="176" fontId="8" fillId="0" borderId="36" xfId="0" applyNumberFormat="1" applyFont="1" applyBorder="1" applyAlignment="1">
      <alignment horizontal="center" vertical="center"/>
    </xf>
    <xf numFmtId="176" fontId="3" fillId="0" borderId="0" xfId="0" applyNumberFormat="1" applyFont="1" applyAlignment="1"/>
    <xf numFmtId="176" fontId="4" fillId="0" borderId="0" xfId="0" applyNumberFormat="1" applyFont="1" applyAlignment="1"/>
    <xf numFmtId="176" fontId="6" fillId="0" borderId="43" xfId="0" applyNumberFormat="1" applyFont="1" applyBorder="1" applyAlignment="1">
      <alignment horizontal="center" vertical="center"/>
    </xf>
    <xf numFmtId="176" fontId="6" fillId="0" borderId="44" xfId="0" applyNumberFormat="1" applyFont="1" applyBorder="1" applyAlignment="1">
      <alignment horizontal="center" vertical="center"/>
    </xf>
    <xf numFmtId="176" fontId="2" fillId="0" borderId="0" xfId="0" applyNumberFormat="1" applyFont="1" applyAlignment="1">
      <alignment vertical="center"/>
    </xf>
    <xf numFmtId="176" fontId="8" fillId="0" borderId="35" xfId="0" applyNumberFormat="1" applyFont="1" applyBorder="1" applyAlignment="1">
      <alignment horizontal="distributed" vertical="center" justifyLastLine="1"/>
    </xf>
    <xf numFmtId="176" fontId="8" fillId="0" borderId="36" xfId="0" applyNumberFormat="1" applyFont="1" applyBorder="1" applyAlignment="1">
      <alignment horizontal="distributed" vertical="center" justifyLastLine="1"/>
    </xf>
    <xf numFmtId="176" fontId="9" fillId="0" borderId="0" xfId="0" applyNumberFormat="1" applyFont="1" applyAlignment="1">
      <alignment vertical="center"/>
    </xf>
    <xf numFmtId="176" fontId="2" fillId="0" borderId="45" xfId="0" applyNumberFormat="1" applyFont="1" applyBorder="1" applyAlignment="1">
      <alignment vertical="center"/>
    </xf>
    <xf numFmtId="176" fontId="18" fillId="0" borderId="10" xfId="0" applyNumberFormat="1" applyFont="1" applyBorder="1" applyAlignment="1">
      <alignment vertical="center" shrinkToFit="1"/>
    </xf>
    <xf numFmtId="176" fontId="18" fillId="0" borderId="31" xfId="0" applyNumberFormat="1" applyFont="1" applyBorder="1" applyAlignment="1">
      <alignment vertical="center" shrinkToFit="1"/>
    </xf>
    <xf numFmtId="176" fontId="12" fillId="0" borderId="10" xfId="0" applyNumberFormat="1" applyFont="1" applyBorder="1" applyAlignment="1">
      <alignment vertical="center" shrinkToFit="1"/>
    </xf>
    <xf numFmtId="176" fontId="12" fillId="0" borderId="31" xfId="0" applyNumberFormat="1" applyFont="1" applyBorder="1" applyAlignment="1">
      <alignment vertical="center" shrinkToFit="1"/>
    </xf>
    <xf numFmtId="176" fontId="2" fillId="0" borderId="10" xfId="0" applyNumberFormat="1" applyFont="1" applyBorder="1" applyAlignment="1">
      <alignment vertical="center" shrinkToFit="1"/>
    </xf>
    <xf numFmtId="176" fontId="2" fillId="0" borderId="31" xfId="0" applyNumberFormat="1" applyFont="1" applyBorder="1" applyAlignment="1">
      <alignment vertical="center" shrinkToFit="1"/>
    </xf>
    <xf numFmtId="176" fontId="8" fillId="0" borderId="40" xfId="0" applyNumberFormat="1" applyFont="1" applyBorder="1" applyAlignment="1">
      <alignment vertical="center" shrinkToFit="1"/>
    </xf>
    <xf numFmtId="176" fontId="8" fillId="0" borderId="41" xfId="0" applyNumberFormat="1" applyFont="1" applyBorder="1" applyAlignment="1">
      <alignment vertical="center" shrinkToFit="1"/>
    </xf>
    <xf numFmtId="176" fontId="2" fillId="0" borderId="40" xfId="0" applyNumberFormat="1" applyFont="1" applyBorder="1" applyAlignment="1">
      <alignment vertical="center" shrinkToFit="1"/>
    </xf>
    <xf numFmtId="176" fontId="2" fillId="0" borderId="41" xfId="0" applyNumberFormat="1" applyFont="1" applyBorder="1" applyAlignment="1">
      <alignment vertical="center" shrinkToFit="1"/>
    </xf>
    <xf numFmtId="176" fontId="2" fillId="0" borderId="15" xfId="0" applyNumberFormat="1" applyFont="1" applyBorder="1" applyAlignment="1">
      <alignment vertical="center" shrinkToFit="1"/>
    </xf>
    <xf numFmtId="176" fontId="2" fillId="0" borderId="42" xfId="0" applyNumberFormat="1" applyFont="1" applyBorder="1" applyAlignment="1">
      <alignment vertical="center" shrinkToFit="1"/>
    </xf>
    <xf numFmtId="176" fontId="8" fillId="0" borderId="32" xfId="0" applyNumberFormat="1" applyFont="1" applyBorder="1" applyAlignment="1">
      <alignment horizontal="distributed" vertical="center" justifyLastLine="1"/>
    </xf>
    <xf numFmtId="176" fontId="8" fillId="0" borderId="33" xfId="0" applyNumberFormat="1" applyFont="1" applyBorder="1" applyAlignment="1">
      <alignment horizontal="distributed" vertical="center" justifyLastLine="1"/>
    </xf>
    <xf numFmtId="176" fontId="12" fillId="0" borderId="23" xfId="0" applyNumberFormat="1" applyFont="1" applyBorder="1" applyAlignment="1">
      <alignment vertical="center" shrinkToFit="1"/>
    </xf>
    <xf numFmtId="176" fontId="12" fillId="0" borderId="34" xfId="0" applyNumberFormat="1" applyFont="1" applyBorder="1" applyAlignment="1">
      <alignment vertical="center" shrinkToFit="1"/>
    </xf>
    <xf numFmtId="176" fontId="11" fillId="0" borderId="35" xfId="0" applyNumberFormat="1" applyFont="1" applyBorder="1" applyAlignment="1">
      <alignment horizontal="center" vertical="center" wrapText="1"/>
    </xf>
    <xf numFmtId="0" fontId="2" fillId="0" borderId="36" xfId="0" applyFont="1" applyBorder="1" applyAlignment="1">
      <alignment wrapText="1"/>
    </xf>
    <xf numFmtId="176" fontId="8" fillId="0" borderId="37" xfId="0" applyNumberFormat="1" applyFont="1" applyBorder="1" applyAlignment="1">
      <alignment horizontal="distributed" vertical="center" justifyLastLine="1"/>
    </xf>
    <xf numFmtId="176" fontId="8" fillId="0" borderId="38" xfId="0" applyNumberFormat="1" applyFont="1" applyBorder="1" applyAlignment="1">
      <alignment horizontal="distributed" vertical="center" justifyLastLine="1"/>
    </xf>
    <xf numFmtId="176" fontId="8" fillId="0" borderId="39" xfId="0" applyNumberFormat="1" applyFont="1" applyBorder="1" applyAlignment="1">
      <alignment horizontal="distributed" vertical="center" justifyLastLine="1"/>
    </xf>
    <xf numFmtId="176" fontId="8" fillId="0" borderId="4" xfId="0" applyNumberFormat="1" applyFont="1" applyBorder="1" applyAlignment="1">
      <alignment horizontal="distributed" vertical="center" justifyLastLine="1"/>
    </xf>
    <xf numFmtId="176" fontId="2" fillId="0" borderId="27" xfId="0" applyNumberFormat="1" applyFont="1" applyBorder="1" applyAlignment="1">
      <alignment horizontal="center"/>
    </xf>
    <xf numFmtId="176" fontId="13" fillId="0" borderId="0" xfId="0" applyNumberFormat="1" applyFont="1" applyAlignment="1">
      <alignment horizontal="center"/>
    </xf>
    <xf numFmtId="176" fontId="19" fillId="0" borderId="28" xfId="0" applyNumberFormat="1" applyFont="1" applyBorder="1" applyAlignment="1">
      <alignment horizontal="center" vertical="center"/>
    </xf>
    <xf numFmtId="176" fontId="19" fillId="0" borderId="29" xfId="0" applyNumberFormat="1" applyFont="1" applyBorder="1" applyAlignment="1">
      <alignment horizontal="center" vertical="center"/>
    </xf>
    <xf numFmtId="176" fontId="19" fillId="0" borderId="30" xfId="0" applyNumberFormat="1" applyFont="1" applyBorder="1" applyAlignment="1">
      <alignment horizontal="center" vertical="center"/>
    </xf>
    <xf numFmtId="176" fontId="18" fillId="0" borderId="10" xfId="0" applyNumberFormat="1" applyFont="1" applyBorder="1" applyAlignment="1">
      <alignment horizontal="center" vertical="center" shrinkToFit="1"/>
    </xf>
    <xf numFmtId="176" fontId="18" fillId="0" borderId="31" xfId="0" applyNumberFormat="1" applyFont="1" applyBorder="1" applyAlignment="1">
      <alignment horizontal="center" vertical="center" shrinkToFit="1"/>
    </xf>
    <xf numFmtId="176" fontId="13" fillId="0" borderId="43"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2" fillId="0" borderId="23" xfId="0" applyNumberFormat="1" applyFont="1" applyBorder="1" applyAlignment="1">
      <alignment vertical="center" shrinkToFit="1"/>
    </xf>
    <xf numFmtId="176" fontId="2" fillId="0" borderId="34" xfId="0" applyNumberFormat="1" applyFont="1" applyBorder="1" applyAlignment="1">
      <alignment vertical="center" shrinkToFit="1"/>
    </xf>
    <xf numFmtId="176" fontId="4" fillId="0" borderId="0" xfId="0" applyNumberFormat="1"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71967</xdr:colOff>
      <xdr:row>12</xdr:row>
      <xdr:rowOff>148167</xdr:rowOff>
    </xdr:from>
    <xdr:to>
      <xdr:col>3</xdr:col>
      <xdr:colOff>723795</xdr:colOff>
      <xdr:row>14</xdr:row>
      <xdr:rowOff>69914</xdr:rowOff>
    </xdr:to>
    <xdr:sp macro="" textlink="">
      <xdr:nvSpPr>
        <xdr:cNvPr id="1026" name="AutoShape 2">
          <a:extLst>
            <a:ext uri="{FF2B5EF4-FFF2-40B4-BE49-F238E27FC236}">
              <a16:creationId xmlns:a16="http://schemas.microsoft.com/office/drawing/2014/main" id="{AB2AB014-C47A-4DD7-9696-DCA188265E74}"/>
            </a:ext>
          </a:extLst>
        </xdr:cNvPr>
        <xdr:cNvSpPr>
          <a:spLocks noChangeArrowheads="1"/>
        </xdr:cNvSpPr>
      </xdr:nvSpPr>
      <xdr:spPr bwMode="auto">
        <a:xfrm>
          <a:off x="84667" y="3418417"/>
          <a:ext cx="2455334" cy="486833"/>
        </a:xfrm>
        <a:prstGeom prst="wedgeRoundRectCallout">
          <a:avLst>
            <a:gd name="adj1" fmla="val -13717"/>
            <a:gd name="adj2" fmla="val -12688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7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プルダウンから選んでください。</a:t>
          </a:r>
          <a:endParaRPr lang="ja-JP" altLang="en-US" sz="1100" b="0" i="0" strike="noStrike">
            <a:solidFill>
              <a:srgbClr val="0000FF"/>
            </a:solidFill>
            <a:latin typeface="AR丸ゴシック体M" panose="020B0609010101010101" pitchFamily="49" charset="-128"/>
            <a:ea typeface="AR丸ゴシック体M" panose="020B0609010101010101" pitchFamily="49" charset="-128"/>
          </a:endParaRPr>
        </a:p>
      </xdr:txBody>
    </xdr:sp>
    <xdr:clientData/>
  </xdr:twoCellAnchor>
  <xdr:twoCellAnchor>
    <xdr:from>
      <xdr:col>4</xdr:col>
      <xdr:colOff>1140883</xdr:colOff>
      <xdr:row>20</xdr:row>
      <xdr:rowOff>173566</xdr:rowOff>
    </xdr:from>
    <xdr:to>
      <xdr:col>9</xdr:col>
      <xdr:colOff>937747</xdr:colOff>
      <xdr:row>24</xdr:row>
      <xdr:rowOff>127033</xdr:rowOff>
    </xdr:to>
    <xdr:sp macro="" textlink="">
      <xdr:nvSpPr>
        <xdr:cNvPr id="1027" name="AutoShape 3">
          <a:extLst>
            <a:ext uri="{FF2B5EF4-FFF2-40B4-BE49-F238E27FC236}">
              <a16:creationId xmlns:a16="http://schemas.microsoft.com/office/drawing/2014/main" id="{9C1E2FD9-6C85-4460-8D79-E3423D0863CF}"/>
            </a:ext>
          </a:extLst>
        </xdr:cNvPr>
        <xdr:cNvSpPr>
          <a:spLocks noChangeArrowheads="1"/>
        </xdr:cNvSpPr>
      </xdr:nvSpPr>
      <xdr:spPr bwMode="auto">
        <a:xfrm>
          <a:off x="4222750" y="5736166"/>
          <a:ext cx="4307417" cy="1090084"/>
        </a:xfrm>
        <a:prstGeom prst="wedgeRoundRectCallout">
          <a:avLst>
            <a:gd name="adj1" fmla="val 59638"/>
            <a:gd name="adj2" fmla="val 572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400"/>
            </a:lnSpc>
            <a:defRPr sz="1000"/>
          </a:pP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endParaRPr lang="en-US" altLang="ja-JP"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600"/>
            </a:lnSpc>
            <a:defRPr sz="1000"/>
          </a:pP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最終残高を記載してください。</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6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予算をオーバーした場合はマイナスで記載してください。　</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5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残金がある場合は返金をお願いします。</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clientData/>
  </xdr:twoCellAnchor>
  <xdr:twoCellAnchor>
    <xdr:from>
      <xdr:col>3</xdr:col>
      <xdr:colOff>812800</xdr:colOff>
      <xdr:row>10</xdr:row>
      <xdr:rowOff>246689</xdr:rowOff>
    </xdr:from>
    <xdr:to>
      <xdr:col>9</xdr:col>
      <xdr:colOff>469940</xdr:colOff>
      <xdr:row>17</xdr:row>
      <xdr:rowOff>215899</xdr:rowOff>
    </xdr:to>
    <xdr:sp macro="" textlink="">
      <xdr:nvSpPr>
        <xdr:cNvPr id="1028" name="AutoShape 4">
          <a:extLst>
            <a:ext uri="{FF2B5EF4-FFF2-40B4-BE49-F238E27FC236}">
              <a16:creationId xmlns:a16="http://schemas.microsoft.com/office/drawing/2014/main" id="{6EDC05DF-E04E-4AA5-89E2-9DDBF4FBFEB4}"/>
            </a:ext>
          </a:extLst>
        </xdr:cNvPr>
        <xdr:cNvSpPr>
          <a:spLocks noChangeArrowheads="1"/>
        </xdr:cNvSpPr>
      </xdr:nvSpPr>
      <xdr:spPr bwMode="auto">
        <a:xfrm>
          <a:off x="2635250" y="2945439"/>
          <a:ext cx="5852583" cy="1975811"/>
        </a:xfrm>
        <a:custGeom>
          <a:avLst/>
          <a:gdLst>
            <a:gd name="connsiteX0" fmla="*/ 0 w 4095750"/>
            <a:gd name="connsiteY0" fmla="*/ 271644 h 1629833"/>
            <a:gd name="connsiteX1" fmla="*/ 271644 w 4095750"/>
            <a:gd name="connsiteY1" fmla="*/ 0 h 1629833"/>
            <a:gd name="connsiteX2" fmla="*/ 2389188 w 4095750"/>
            <a:gd name="connsiteY2" fmla="*/ 0 h 1629833"/>
            <a:gd name="connsiteX3" fmla="*/ 2389188 w 4095750"/>
            <a:gd name="connsiteY3" fmla="*/ 0 h 1629833"/>
            <a:gd name="connsiteX4" fmla="*/ 3413125 w 4095750"/>
            <a:gd name="connsiteY4" fmla="*/ 0 h 1629833"/>
            <a:gd name="connsiteX5" fmla="*/ 3824106 w 4095750"/>
            <a:gd name="connsiteY5" fmla="*/ 0 h 1629833"/>
            <a:gd name="connsiteX6" fmla="*/ 4095750 w 4095750"/>
            <a:gd name="connsiteY6" fmla="*/ 271644 h 1629833"/>
            <a:gd name="connsiteX7" fmla="*/ 4095750 w 4095750"/>
            <a:gd name="connsiteY7" fmla="*/ 271639 h 1629833"/>
            <a:gd name="connsiteX8" fmla="*/ 5148972 w 4095750"/>
            <a:gd name="connsiteY8" fmla="*/ -324809 h 1629833"/>
            <a:gd name="connsiteX9" fmla="*/ 4095750 w 4095750"/>
            <a:gd name="connsiteY9" fmla="*/ 679097 h 1629833"/>
            <a:gd name="connsiteX10" fmla="*/ 4095750 w 4095750"/>
            <a:gd name="connsiteY10" fmla="*/ 1358189 h 1629833"/>
            <a:gd name="connsiteX11" fmla="*/ 3824106 w 4095750"/>
            <a:gd name="connsiteY11" fmla="*/ 1629833 h 1629833"/>
            <a:gd name="connsiteX12" fmla="*/ 3413125 w 4095750"/>
            <a:gd name="connsiteY12" fmla="*/ 1629833 h 1629833"/>
            <a:gd name="connsiteX13" fmla="*/ 2389188 w 4095750"/>
            <a:gd name="connsiteY13" fmla="*/ 1629833 h 1629833"/>
            <a:gd name="connsiteX14" fmla="*/ 2389188 w 4095750"/>
            <a:gd name="connsiteY14" fmla="*/ 1629833 h 1629833"/>
            <a:gd name="connsiteX15" fmla="*/ 271644 w 4095750"/>
            <a:gd name="connsiteY15" fmla="*/ 1629833 h 1629833"/>
            <a:gd name="connsiteX16" fmla="*/ 0 w 4095750"/>
            <a:gd name="connsiteY16" fmla="*/ 1358189 h 1629833"/>
            <a:gd name="connsiteX17" fmla="*/ 0 w 4095750"/>
            <a:gd name="connsiteY17" fmla="*/ 679097 h 1629833"/>
            <a:gd name="connsiteX18" fmla="*/ 0 w 4095750"/>
            <a:gd name="connsiteY18" fmla="*/ 271639 h 1629833"/>
            <a:gd name="connsiteX19" fmla="*/ 0 w 4095750"/>
            <a:gd name="connsiteY19" fmla="*/ 271639 h 1629833"/>
            <a:gd name="connsiteX20" fmla="*/ 0 w 4095750"/>
            <a:gd name="connsiteY20" fmla="*/ 271644 h 1629833"/>
            <a:gd name="connsiteX0" fmla="*/ 0 w 5053722"/>
            <a:gd name="connsiteY0" fmla="*/ 945703 h 2303892"/>
            <a:gd name="connsiteX1" fmla="*/ 271644 w 5053722"/>
            <a:gd name="connsiteY1" fmla="*/ 674059 h 2303892"/>
            <a:gd name="connsiteX2" fmla="*/ 2389188 w 5053722"/>
            <a:gd name="connsiteY2" fmla="*/ 674059 h 2303892"/>
            <a:gd name="connsiteX3" fmla="*/ 2389188 w 5053722"/>
            <a:gd name="connsiteY3" fmla="*/ 674059 h 2303892"/>
            <a:gd name="connsiteX4" fmla="*/ 3413125 w 5053722"/>
            <a:gd name="connsiteY4" fmla="*/ 674059 h 2303892"/>
            <a:gd name="connsiteX5" fmla="*/ 3824106 w 5053722"/>
            <a:gd name="connsiteY5" fmla="*/ 674059 h 2303892"/>
            <a:gd name="connsiteX6" fmla="*/ 4095750 w 5053722"/>
            <a:gd name="connsiteY6" fmla="*/ 945703 h 2303892"/>
            <a:gd name="connsiteX7" fmla="*/ 4095750 w 5053722"/>
            <a:gd name="connsiteY7" fmla="*/ 945698 h 2303892"/>
            <a:gd name="connsiteX8" fmla="*/ 5053722 w 5053722"/>
            <a:gd name="connsiteY8" fmla="*/ 0 h 2303892"/>
            <a:gd name="connsiteX9" fmla="*/ 4095750 w 5053722"/>
            <a:gd name="connsiteY9" fmla="*/ 1353156 h 2303892"/>
            <a:gd name="connsiteX10" fmla="*/ 4095750 w 5053722"/>
            <a:gd name="connsiteY10" fmla="*/ 2032248 h 2303892"/>
            <a:gd name="connsiteX11" fmla="*/ 3824106 w 5053722"/>
            <a:gd name="connsiteY11" fmla="*/ 2303892 h 2303892"/>
            <a:gd name="connsiteX12" fmla="*/ 3413125 w 5053722"/>
            <a:gd name="connsiteY12" fmla="*/ 2303892 h 2303892"/>
            <a:gd name="connsiteX13" fmla="*/ 2389188 w 5053722"/>
            <a:gd name="connsiteY13" fmla="*/ 2303892 h 2303892"/>
            <a:gd name="connsiteX14" fmla="*/ 2389188 w 5053722"/>
            <a:gd name="connsiteY14" fmla="*/ 2303892 h 2303892"/>
            <a:gd name="connsiteX15" fmla="*/ 271644 w 5053722"/>
            <a:gd name="connsiteY15" fmla="*/ 2303892 h 2303892"/>
            <a:gd name="connsiteX16" fmla="*/ 0 w 5053722"/>
            <a:gd name="connsiteY16" fmla="*/ 2032248 h 2303892"/>
            <a:gd name="connsiteX17" fmla="*/ 0 w 5053722"/>
            <a:gd name="connsiteY17" fmla="*/ 1353156 h 2303892"/>
            <a:gd name="connsiteX18" fmla="*/ 0 w 5053722"/>
            <a:gd name="connsiteY18" fmla="*/ 945698 h 2303892"/>
            <a:gd name="connsiteX19" fmla="*/ 0 w 5053722"/>
            <a:gd name="connsiteY19" fmla="*/ 945698 h 2303892"/>
            <a:gd name="connsiteX20" fmla="*/ 0 w 5053722"/>
            <a:gd name="connsiteY20" fmla="*/ 945703 h 2303892"/>
            <a:gd name="connsiteX0" fmla="*/ 0 w 5351292"/>
            <a:gd name="connsiteY0" fmla="*/ 898818 h 2257007"/>
            <a:gd name="connsiteX1" fmla="*/ 271644 w 5351292"/>
            <a:gd name="connsiteY1" fmla="*/ 627174 h 2257007"/>
            <a:gd name="connsiteX2" fmla="*/ 2389188 w 5351292"/>
            <a:gd name="connsiteY2" fmla="*/ 627174 h 2257007"/>
            <a:gd name="connsiteX3" fmla="*/ 2389188 w 5351292"/>
            <a:gd name="connsiteY3" fmla="*/ 627174 h 2257007"/>
            <a:gd name="connsiteX4" fmla="*/ 3413125 w 5351292"/>
            <a:gd name="connsiteY4" fmla="*/ 627174 h 2257007"/>
            <a:gd name="connsiteX5" fmla="*/ 3824106 w 5351292"/>
            <a:gd name="connsiteY5" fmla="*/ 627174 h 2257007"/>
            <a:gd name="connsiteX6" fmla="*/ 4095750 w 5351292"/>
            <a:gd name="connsiteY6" fmla="*/ 898818 h 2257007"/>
            <a:gd name="connsiteX7" fmla="*/ 4095750 w 5351292"/>
            <a:gd name="connsiteY7" fmla="*/ 898813 h 2257007"/>
            <a:gd name="connsiteX8" fmla="*/ 5351292 w 5351292"/>
            <a:gd name="connsiteY8" fmla="*/ 0 h 2257007"/>
            <a:gd name="connsiteX9" fmla="*/ 4095750 w 5351292"/>
            <a:gd name="connsiteY9" fmla="*/ 1306271 h 2257007"/>
            <a:gd name="connsiteX10" fmla="*/ 4095750 w 5351292"/>
            <a:gd name="connsiteY10" fmla="*/ 1985363 h 2257007"/>
            <a:gd name="connsiteX11" fmla="*/ 3824106 w 5351292"/>
            <a:gd name="connsiteY11" fmla="*/ 2257007 h 2257007"/>
            <a:gd name="connsiteX12" fmla="*/ 3413125 w 5351292"/>
            <a:gd name="connsiteY12" fmla="*/ 2257007 h 2257007"/>
            <a:gd name="connsiteX13" fmla="*/ 2389188 w 5351292"/>
            <a:gd name="connsiteY13" fmla="*/ 2257007 h 2257007"/>
            <a:gd name="connsiteX14" fmla="*/ 2389188 w 5351292"/>
            <a:gd name="connsiteY14" fmla="*/ 2257007 h 2257007"/>
            <a:gd name="connsiteX15" fmla="*/ 271644 w 5351292"/>
            <a:gd name="connsiteY15" fmla="*/ 2257007 h 2257007"/>
            <a:gd name="connsiteX16" fmla="*/ 0 w 5351292"/>
            <a:gd name="connsiteY16" fmla="*/ 1985363 h 2257007"/>
            <a:gd name="connsiteX17" fmla="*/ 0 w 5351292"/>
            <a:gd name="connsiteY17" fmla="*/ 1306271 h 2257007"/>
            <a:gd name="connsiteX18" fmla="*/ 0 w 5351292"/>
            <a:gd name="connsiteY18" fmla="*/ 898813 h 2257007"/>
            <a:gd name="connsiteX19" fmla="*/ 0 w 5351292"/>
            <a:gd name="connsiteY19" fmla="*/ 898813 h 2257007"/>
            <a:gd name="connsiteX20" fmla="*/ 0 w 5351292"/>
            <a:gd name="connsiteY20" fmla="*/ 898818 h 22570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351292" h="2257007">
              <a:moveTo>
                <a:pt x="0" y="898818"/>
              </a:moveTo>
              <a:cubicBezTo>
                <a:pt x="0" y="748793"/>
                <a:pt x="121619" y="627174"/>
                <a:pt x="271644" y="627174"/>
              </a:cubicBezTo>
              <a:lnTo>
                <a:pt x="2389188" y="627174"/>
              </a:lnTo>
              <a:lnTo>
                <a:pt x="2389188" y="627174"/>
              </a:lnTo>
              <a:lnTo>
                <a:pt x="3413125" y="627174"/>
              </a:lnTo>
              <a:lnTo>
                <a:pt x="3824106" y="627174"/>
              </a:lnTo>
              <a:cubicBezTo>
                <a:pt x="3974131" y="627174"/>
                <a:pt x="4095750" y="748793"/>
                <a:pt x="4095750" y="898818"/>
              </a:cubicBezTo>
              <a:lnTo>
                <a:pt x="4095750" y="898813"/>
              </a:lnTo>
              <a:lnTo>
                <a:pt x="5351292" y="0"/>
              </a:lnTo>
              <a:lnTo>
                <a:pt x="4095750" y="1306271"/>
              </a:lnTo>
              <a:lnTo>
                <a:pt x="4095750" y="1985363"/>
              </a:lnTo>
              <a:cubicBezTo>
                <a:pt x="4095750" y="2135388"/>
                <a:pt x="3974131" y="2257007"/>
                <a:pt x="3824106" y="2257007"/>
              </a:cubicBezTo>
              <a:lnTo>
                <a:pt x="3413125" y="2257007"/>
              </a:lnTo>
              <a:lnTo>
                <a:pt x="2389188" y="2257007"/>
              </a:lnTo>
              <a:lnTo>
                <a:pt x="2389188" y="2257007"/>
              </a:lnTo>
              <a:lnTo>
                <a:pt x="271644" y="2257007"/>
              </a:lnTo>
              <a:cubicBezTo>
                <a:pt x="121619" y="2257007"/>
                <a:pt x="0" y="2135388"/>
                <a:pt x="0" y="1985363"/>
              </a:cubicBezTo>
              <a:lnTo>
                <a:pt x="0" y="1306271"/>
              </a:lnTo>
              <a:lnTo>
                <a:pt x="0" y="898813"/>
              </a:lnTo>
              <a:lnTo>
                <a:pt x="0" y="898813"/>
              </a:lnTo>
              <a:lnTo>
                <a:pt x="0" y="898818"/>
              </a:lnTo>
              <a:close/>
            </a:path>
          </a:pathLst>
        </a:cu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500"/>
            </a:lnSpc>
            <a:defRPr sz="1000"/>
          </a:pPr>
          <a:r>
            <a:rPr lang="ja-JP" altLang="en-US" sz="1100" b="0" i="0" strike="noStrike">
              <a:solidFill>
                <a:srgbClr val="FF0000"/>
              </a:solidFill>
              <a:latin typeface="HG創英角ｺﾞｼｯｸUB"/>
              <a:ea typeface="HG創英角ｺﾞｼｯｸUB"/>
            </a:rPr>
            <a:t>　</a:t>
          </a:r>
          <a:endParaRPr lang="en-US" altLang="ja-JP" sz="1100" b="0" i="0" strike="noStrike">
            <a:solidFill>
              <a:srgbClr val="FF0000"/>
            </a:solidFill>
            <a:latin typeface="HG創英角ｺﾞｼｯｸUB"/>
            <a:ea typeface="HG創英角ｺﾞｼｯｸUB"/>
          </a:endParaRPr>
        </a:p>
        <a:p>
          <a:pPr algn="l" rtl="0">
            <a:lnSpc>
              <a:spcPts val="1200"/>
            </a:lnSpc>
            <a:defRPr sz="1000"/>
          </a:pPr>
          <a:r>
            <a:rPr lang="ja-JP" altLang="en-US" sz="1100" b="0" i="0" strike="noStrike">
              <a:solidFill>
                <a:srgbClr val="FF0000"/>
              </a:solidFill>
              <a:latin typeface="HG創英角ｺﾞｼｯｸUB"/>
              <a:ea typeface="HG創英角ｺﾞｼｯｸUB"/>
            </a:rPr>
            <a:t>　</a:t>
          </a:r>
          <a:endParaRPr lang="en-US" altLang="ja-JP" sz="1100" b="0" i="0" strike="noStrike">
            <a:solidFill>
              <a:srgbClr val="FF0000"/>
            </a:solidFill>
            <a:latin typeface="HG創英角ｺﾞｼｯｸUB"/>
            <a:ea typeface="HG創英角ｺﾞｼｯｸUB"/>
          </a:endParaRPr>
        </a:p>
        <a:p>
          <a:pPr algn="l" rtl="0">
            <a:lnSpc>
              <a:spcPts val="1200"/>
            </a:lnSpc>
            <a:defRPr sz="1000"/>
          </a:pPr>
          <a:endParaRPr lang="en-US" altLang="ja-JP" sz="1100" b="0" i="0" strike="noStrike">
            <a:solidFill>
              <a:srgbClr val="FF0000"/>
            </a:solidFill>
            <a:latin typeface="HG創英角ｺﾞｼｯｸUB"/>
            <a:ea typeface="HG創英角ｺﾞｼｯｸUB"/>
          </a:endParaRPr>
        </a:p>
        <a:p>
          <a:pPr algn="l" rtl="0">
            <a:lnSpc>
              <a:spcPts val="1200"/>
            </a:lnSpc>
            <a:defRPr sz="1000"/>
          </a:pPr>
          <a:endParaRPr lang="en-US" altLang="ja-JP" sz="1100" b="0" i="0" strike="noStrike">
            <a:solidFill>
              <a:srgbClr val="FF0000"/>
            </a:solidFill>
            <a:latin typeface="HG創英角ｺﾞｼｯｸUB"/>
            <a:ea typeface="HG創英角ｺﾞｼｯｸUB"/>
          </a:endParaRPr>
        </a:p>
        <a:p>
          <a:pPr algn="l" rtl="0">
            <a:lnSpc>
              <a:spcPts val="1200"/>
            </a:lnSpc>
            <a:defRPr sz="1000"/>
          </a:pP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1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領収証（原本）にナンバーを記載し、金額が一致する</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7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ようにしてください。</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6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１</a:t>
          </a:r>
          <a:r>
            <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０００円未満の支出は、明細の記載のみでも結構です。</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8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その場合領収証ナンバーは「なし」と記載してください。</a:t>
          </a:r>
        </a:p>
        <a:p>
          <a:pPr algn="l" rtl="0">
            <a:lnSpc>
              <a:spcPts val="16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できる限り領収証の内訳が分かるよう請求書などの</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7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関連書類の添付をお願いします。</a:t>
          </a:r>
        </a:p>
      </xdr:txBody>
    </xdr:sp>
    <xdr:clientData/>
  </xdr:twoCellAnchor>
  <xdr:twoCellAnchor editAs="oneCell">
    <xdr:from>
      <xdr:col>0</xdr:col>
      <xdr:colOff>0</xdr:colOff>
      <xdr:row>0</xdr:row>
      <xdr:rowOff>0</xdr:rowOff>
    </xdr:from>
    <xdr:to>
      <xdr:col>2</xdr:col>
      <xdr:colOff>410633</xdr:colOff>
      <xdr:row>1</xdr:row>
      <xdr:rowOff>250870</xdr:rowOff>
    </xdr:to>
    <xdr:sp macro="" textlink="">
      <xdr:nvSpPr>
        <xdr:cNvPr id="1030" name="Text Box 6">
          <a:extLst>
            <a:ext uri="{FF2B5EF4-FFF2-40B4-BE49-F238E27FC236}">
              <a16:creationId xmlns:a16="http://schemas.microsoft.com/office/drawing/2014/main" id="{7BDB9ACB-1903-4935-89D7-96C66C9A0170}"/>
            </a:ext>
          </a:extLst>
        </xdr:cNvPr>
        <xdr:cNvSpPr txBox="1">
          <a:spLocks noChangeArrowheads="1"/>
        </xdr:cNvSpPr>
      </xdr:nvSpPr>
      <xdr:spPr bwMode="auto">
        <a:xfrm>
          <a:off x="0" y="0"/>
          <a:ext cx="1104900" cy="447675"/>
        </a:xfrm>
        <a:prstGeom prst="rect">
          <a:avLst/>
        </a:prstGeom>
        <a:noFill/>
        <a:ln w="9525">
          <a:noFill/>
          <a:miter lim="800000"/>
          <a:headEnd/>
          <a:tailEnd/>
        </a:ln>
      </xdr:spPr>
      <xdr:txBody>
        <a:bodyPr vertOverflow="clip" wrap="square" lIns="45720" tIns="32004" rIns="0" bIns="0" anchor="t" upright="1"/>
        <a:lstStyle/>
        <a:p>
          <a:pPr algn="l" rtl="0">
            <a:defRPr sz="1000"/>
          </a:pPr>
          <a:r>
            <a:rPr lang="ja-JP" altLang="en-US" sz="2000" b="1" i="0" strike="noStrike">
              <a:solidFill>
                <a:srgbClr val="0000FF"/>
              </a:solidFill>
              <a:latin typeface="メイリオ" pitchFamily="50" charset="-128"/>
              <a:ea typeface="メイリオ" pitchFamily="50" charset="-128"/>
            </a:rPr>
            <a:t>記入例</a:t>
          </a:r>
        </a:p>
      </xdr:txBody>
    </xdr:sp>
    <xdr:clientData/>
  </xdr:twoCellAnchor>
  <xdr:twoCellAnchor>
    <xdr:from>
      <xdr:col>7</xdr:col>
      <xdr:colOff>228600</xdr:colOff>
      <xdr:row>2</xdr:row>
      <xdr:rowOff>190499</xdr:rowOff>
    </xdr:from>
    <xdr:to>
      <xdr:col>9</xdr:col>
      <xdr:colOff>364071</xdr:colOff>
      <xdr:row>4</xdr:row>
      <xdr:rowOff>179998</xdr:rowOff>
    </xdr:to>
    <xdr:sp macro="" textlink="">
      <xdr:nvSpPr>
        <xdr:cNvPr id="9" name="AutoShape 2">
          <a:extLst>
            <a:ext uri="{FF2B5EF4-FFF2-40B4-BE49-F238E27FC236}">
              <a16:creationId xmlns:a16="http://schemas.microsoft.com/office/drawing/2014/main" id="{D8C0AB07-7447-4DE9-A264-E75221C34489}"/>
            </a:ext>
          </a:extLst>
        </xdr:cNvPr>
        <xdr:cNvSpPr>
          <a:spLocks noChangeArrowheads="1"/>
        </xdr:cNvSpPr>
      </xdr:nvSpPr>
      <xdr:spPr bwMode="auto">
        <a:xfrm>
          <a:off x="6106583" y="808566"/>
          <a:ext cx="1845735" cy="651934"/>
        </a:xfrm>
        <a:prstGeom prst="wedgeRoundRectCallout">
          <a:avLst>
            <a:gd name="adj1" fmla="val -70186"/>
            <a:gd name="adj2" fmla="val 796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7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交付された助成金額</a:t>
          </a:r>
        </a:p>
        <a:p>
          <a:pPr algn="l" rtl="0">
            <a:lnSpc>
              <a:spcPts val="16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を記載してください。</a:t>
          </a:r>
        </a:p>
      </xdr:txBody>
    </xdr:sp>
    <xdr:clientData/>
  </xdr:twoCellAnchor>
  <xdr:twoCellAnchor>
    <xdr:from>
      <xdr:col>9</xdr:col>
      <xdr:colOff>524935</xdr:colOff>
      <xdr:row>1</xdr:row>
      <xdr:rowOff>156633</xdr:rowOff>
    </xdr:from>
    <xdr:to>
      <xdr:col>10</xdr:col>
      <xdr:colOff>984310</xdr:colOff>
      <xdr:row>4</xdr:row>
      <xdr:rowOff>27005</xdr:rowOff>
    </xdr:to>
    <xdr:sp macro="" textlink="">
      <xdr:nvSpPr>
        <xdr:cNvPr id="10" name="AutoShape 2">
          <a:extLst>
            <a:ext uri="{FF2B5EF4-FFF2-40B4-BE49-F238E27FC236}">
              <a16:creationId xmlns:a16="http://schemas.microsoft.com/office/drawing/2014/main" id="{10644120-1F13-4A4D-98C9-D22848E42934}"/>
            </a:ext>
          </a:extLst>
        </xdr:cNvPr>
        <xdr:cNvSpPr>
          <a:spLocks noChangeArrowheads="1"/>
        </xdr:cNvSpPr>
      </xdr:nvSpPr>
      <xdr:spPr bwMode="auto">
        <a:xfrm>
          <a:off x="8746068" y="347133"/>
          <a:ext cx="1699683" cy="960455"/>
        </a:xfrm>
        <a:custGeom>
          <a:avLst/>
          <a:gdLst>
            <a:gd name="connsiteX0" fmla="*/ 0 w 1699683"/>
            <a:gd name="connsiteY0" fmla="*/ 116772 h 700617"/>
            <a:gd name="connsiteX1" fmla="*/ 116772 w 1699683"/>
            <a:gd name="connsiteY1" fmla="*/ 0 h 700617"/>
            <a:gd name="connsiteX2" fmla="*/ 991482 w 1699683"/>
            <a:gd name="connsiteY2" fmla="*/ 0 h 700617"/>
            <a:gd name="connsiteX3" fmla="*/ 991482 w 1699683"/>
            <a:gd name="connsiteY3" fmla="*/ 0 h 700617"/>
            <a:gd name="connsiteX4" fmla="*/ 1416403 w 1699683"/>
            <a:gd name="connsiteY4" fmla="*/ 0 h 700617"/>
            <a:gd name="connsiteX5" fmla="*/ 1582911 w 1699683"/>
            <a:gd name="connsiteY5" fmla="*/ 0 h 700617"/>
            <a:gd name="connsiteX6" fmla="*/ 1699683 w 1699683"/>
            <a:gd name="connsiteY6" fmla="*/ 116772 h 700617"/>
            <a:gd name="connsiteX7" fmla="*/ 1699683 w 1699683"/>
            <a:gd name="connsiteY7" fmla="*/ 408693 h 700617"/>
            <a:gd name="connsiteX8" fmla="*/ 1699683 w 1699683"/>
            <a:gd name="connsiteY8" fmla="*/ 408693 h 700617"/>
            <a:gd name="connsiteX9" fmla="*/ 1699683 w 1699683"/>
            <a:gd name="connsiteY9" fmla="*/ 583848 h 700617"/>
            <a:gd name="connsiteX10" fmla="*/ 1699683 w 1699683"/>
            <a:gd name="connsiteY10" fmla="*/ 583845 h 700617"/>
            <a:gd name="connsiteX11" fmla="*/ 1582911 w 1699683"/>
            <a:gd name="connsiteY11" fmla="*/ 700617 h 700617"/>
            <a:gd name="connsiteX12" fmla="*/ 1416403 w 1699683"/>
            <a:gd name="connsiteY12" fmla="*/ 700617 h 700617"/>
            <a:gd name="connsiteX13" fmla="*/ 1513942 w 1699683"/>
            <a:gd name="connsiteY13" fmla="*/ 960455 h 700617"/>
            <a:gd name="connsiteX14" fmla="*/ 991482 w 1699683"/>
            <a:gd name="connsiteY14" fmla="*/ 700617 h 700617"/>
            <a:gd name="connsiteX15" fmla="*/ 116772 w 1699683"/>
            <a:gd name="connsiteY15" fmla="*/ 700617 h 700617"/>
            <a:gd name="connsiteX16" fmla="*/ 0 w 1699683"/>
            <a:gd name="connsiteY16" fmla="*/ 583845 h 700617"/>
            <a:gd name="connsiteX17" fmla="*/ 0 w 1699683"/>
            <a:gd name="connsiteY17" fmla="*/ 583848 h 700617"/>
            <a:gd name="connsiteX18" fmla="*/ 0 w 1699683"/>
            <a:gd name="connsiteY18" fmla="*/ 408693 h 700617"/>
            <a:gd name="connsiteX19" fmla="*/ 0 w 1699683"/>
            <a:gd name="connsiteY19" fmla="*/ 408693 h 700617"/>
            <a:gd name="connsiteX20" fmla="*/ 0 w 1699683"/>
            <a:gd name="connsiteY20" fmla="*/ 116772 h 700617"/>
            <a:gd name="connsiteX0" fmla="*/ 0 w 1699683"/>
            <a:gd name="connsiteY0" fmla="*/ 116772 h 960455"/>
            <a:gd name="connsiteX1" fmla="*/ 116772 w 1699683"/>
            <a:gd name="connsiteY1" fmla="*/ 0 h 960455"/>
            <a:gd name="connsiteX2" fmla="*/ 991482 w 1699683"/>
            <a:gd name="connsiteY2" fmla="*/ 0 h 960455"/>
            <a:gd name="connsiteX3" fmla="*/ 991482 w 1699683"/>
            <a:gd name="connsiteY3" fmla="*/ 0 h 960455"/>
            <a:gd name="connsiteX4" fmla="*/ 1416403 w 1699683"/>
            <a:gd name="connsiteY4" fmla="*/ 0 h 960455"/>
            <a:gd name="connsiteX5" fmla="*/ 1582911 w 1699683"/>
            <a:gd name="connsiteY5" fmla="*/ 0 h 960455"/>
            <a:gd name="connsiteX6" fmla="*/ 1699683 w 1699683"/>
            <a:gd name="connsiteY6" fmla="*/ 116772 h 960455"/>
            <a:gd name="connsiteX7" fmla="*/ 1699683 w 1699683"/>
            <a:gd name="connsiteY7" fmla="*/ 408693 h 960455"/>
            <a:gd name="connsiteX8" fmla="*/ 1699683 w 1699683"/>
            <a:gd name="connsiteY8" fmla="*/ 408693 h 960455"/>
            <a:gd name="connsiteX9" fmla="*/ 1699683 w 1699683"/>
            <a:gd name="connsiteY9" fmla="*/ 583848 h 960455"/>
            <a:gd name="connsiteX10" fmla="*/ 1699683 w 1699683"/>
            <a:gd name="connsiteY10" fmla="*/ 583845 h 960455"/>
            <a:gd name="connsiteX11" fmla="*/ 1582911 w 1699683"/>
            <a:gd name="connsiteY11" fmla="*/ 700617 h 960455"/>
            <a:gd name="connsiteX12" fmla="*/ 1416403 w 1699683"/>
            <a:gd name="connsiteY12" fmla="*/ 700617 h 960455"/>
            <a:gd name="connsiteX13" fmla="*/ 1513942 w 1699683"/>
            <a:gd name="connsiteY13" fmla="*/ 960455 h 960455"/>
            <a:gd name="connsiteX14" fmla="*/ 1287815 w 1699683"/>
            <a:gd name="connsiteY14" fmla="*/ 700617 h 960455"/>
            <a:gd name="connsiteX15" fmla="*/ 116772 w 1699683"/>
            <a:gd name="connsiteY15" fmla="*/ 700617 h 960455"/>
            <a:gd name="connsiteX16" fmla="*/ 0 w 1699683"/>
            <a:gd name="connsiteY16" fmla="*/ 583845 h 960455"/>
            <a:gd name="connsiteX17" fmla="*/ 0 w 1699683"/>
            <a:gd name="connsiteY17" fmla="*/ 583848 h 960455"/>
            <a:gd name="connsiteX18" fmla="*/ 0 w 1699683"/>
            <a:gd name="connsiteY18" fmla="*/ 408693 h 960455"/>
            <a:gd name="connsiteX19" fmla="*/ 0 w 1699683"/>
            <a:gd name="connsiteY19" fmla="*/ 408693 h 960455"/>
            <a:gd name="connsiteX20" fmla="*/ 0 w 1699683"/>
            <a:gd name="connsiteY20" fmla="*/ 116772 h 9604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699683" h="960455">
              <a:moveTo>
                <a:pt x="0" y="116772"/>
              </a:moveTo>
              <a:cubicBezTo>
                <a:pt x="0" y="52281"/>
                <a:pt x="52281" y="0"/>
                <a:pt x="116772" y="0"/>
              </a:cubicBezTo>
              <a:lnTo>
                <a:pt x="991482" y="0"/>
              </a:lnTo>
              <a:lnTo>
                <a:pt x="991482" y="0"/>
              </a:lnTo>
              <a:lnTo>
                <a:pt x="1416403" y="0"/>
              </a:lnTo>
              <a:lnTo>
                <a:pt x="1582911" y="0"/>
              </a:lnTo>
              <a:cubicBezTo>
                <a:pt x="1647402" y="0"/>
                <a:pt x="1699683" y="52281"/>
                <a:pt x="1699683" y="116772"/>
              </a:cubicBezTo>
              <a:lnTo>
                <a:pt x="1699683" y="408693"/>
              </a:lnTo>
              <a:lnTo>
                <a:pt x="1699683" y="408693"/>
              </a:lnTo>
              <a:lnTo>
                <a:pt x="1699683" y="583848"/>
              </a:lnTo>
              <a:lnTo>
                <a:pt x="1699683" y="583845"/>
              </a:lnTo>
              <a:cubicBezTo>
                <a:pt x="1699683" y="648336"/>
                <a:pt x="1647402" y="700617"/>
                <a:pt x="1582911" y="700617"/>
              </a:cubicBezTo>
              <a:lnTo>
                <a:pt x="1416403" y="700617"/>
              </a:lnTo>
              <a:lnTo>
                <a:pt x="1513942" y="960455"/>
              </a:lnTo>
              <a:lnTo>
                <a:pt x="1287815" y="700617"/>
              </a:lnTo>
              <a:lnTo>
                <a:pt x="116772" y="700617"/>
              </a:lnTo>
              <a:cubicBezTo>
                <a:pt x="52281" y="700617"/>
                <a:pt x="0" y="648336"/>
                <a:pt x="0" y="583845"/>
              </a:cubicBezTo>
              <a:lnTo>
                <a:pt x="0" y="583848"/>
              </a:lnTo>
              <a:lnTo>
                <a:pt x="0" y="408693"/>
              </a:lnTo>
              <a:lnTo>
                <a:pt x="0" y="408693"/>
              </a:lnTo>
              <a:lnTo>
                <a:pt x="0" y="116772"/>
              </a:lnTo>
              <a:close/>
            </a:path>
          </a:pathLst>
        </a:cu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7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ページ毎に番号を</a:t>
          </a:r>
        </a:p>
        <a:p>
          <a:pPr algn="l" rtl="0">
            <a:lnSpc>
              <a:spcPts val="17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記載してください</a:t>
          </a:r>
          <a:r>
            <a:rPr lang="ja-JP" altLang="en-US" sz="1100" b="0" i="0" strike="noStrike">
              <a:solidFill>
                <a:srgbClr val="0000FF"/>
              </a:solidFill>
              <a:latin typeface="AR丸ゴシック体M" panose="020B0609010101010101" pitchFamily="49" charset="-128"/>
              <a:ea typeface="AR丸ゴシック体M" panose="020B0609010101010101" pitchFamily="49" charset="-128"/>
            </a:rPr>
            <a:t>。</a:t>
          </a:r>
        </a:p>
      </xdr:txBody>
    </xdr:sp>
    <xdr:clientData/>
  </xdr:twoCellAnchor>
  <xdr:twoCellAnchor>
    <xdr:from>
      <xdr:col>2</xdr:col>
      <xdr:colOff>620182</xdr:colOff>
      <xdr:row>26</xdr:row>
      <xdr:rowOff>46566</xdr:rowOff>
    </xdr:from>
    <xdr:to>
      <xdr:col>6</xdr:col>
      <xdr:colOff>153536</xdr:colOff>
      <xdr:row>30</xdr:row>
      <xdr:rowOff>156648</xdr:rowOff>
    </xdr:to>
    <xdr:sp macro="" textlink="">
      <xdr:nvSpPr>
        <xdr:cNvPr id="8" name="AutoShape 3">
          <a:extLst>
            <a:ext uri="{FF2B5EF4-FFF2-40B4-BE49-F238E27FC236}">
              <a16:creationId xmlns:a16="http://schemas.microsoft.com/office/drawing/2014/main" id="{CB7495A4-EE36-4EC3-9FFD-F2F4AEFFAE34}"/>
            </a:ext>
          </a:extLst>
        </xdr:cNvPr>
        <xdr:cNvSpPr>
          <a:spLocks noChangeArrowheads="1"/>
        </xdr:cNvSpPr>
      </xdr:nvSpPr>
      <xdr:spPr bwMode="auto">
        <a:xfrm>
          <a:off x="1333499" y="7281333"/>
          <a:ext cx="4251326" cy="1090084"/>
        </a:xfrm>
        <a:prstGeom prst="wedgeRoundRectCallout">
          <a:avLst>
            <a:gd name="adj1" fmla="val 59638"/>
            <a:gd name="adj2" fmla="val 572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500"/>
            </a:lnSpc>
            <a:defRPr sz="1000"/>
          </a:pP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a:t>
          </a:r>
          <a:endParaRPr lang="en-US" altLang="ja-JP"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900"/>
            </a:lnSpc>
            <a:defRPr sz="1000"/>
          </a:pPr>
          <a:r>
            <a:rPr lang="ja-JP" altLang="en-US" sz="1200" b="0" i="0" strike="noStrike" baseline="0">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　最後に費目ごとに合計金額を計算して入力してください</a:t>
          </a: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a:p>
          <a:pPr algn="l" rtl="0">
            <a:lnSpc>
              <a:spcPts val="1900"/>
            </a:lnSpc>
            <a:defRPr sz="1000"/>
          </a:pPr>
          <a:r>
            <a:rPr lang="ja-JP" altLang="en-US"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rPr>
            <a:t>最終使用金額が上記の合計金額と合致しているか必ず確認をお願いします。</a:t>
          </a:r>
          <a:endParaRPr lang="en-US" altLang="ja-JP" sz="1200" b="0" i="0" strike="noStrike">
            <a:solidFill>
              <a:srgbClr val="00B050"/>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1058334</xdr:colOff>
      <xdr:row>1</xdr:row>
      <xdr:rowOff>302683</xdr:rowOff>
    </xdr:from>
    <xdr:ext cx="184731" cy="264560"/>
    <xdr:sp macro="" textlink="">
      <xdr:nvSpPr>
        <xdr:cNvPr id="2" name="テキスト ボックス 1">
          <a:extLst>
            <a:ext uri="{FF2B5EF4-FFF2-40B4-BE49-F238E27FC236}">
              <a16:creationId xmlns:a16="http://schemas.microsoft.com/office/drawing/2014/main" id="{C6E506DF-094A-4E30-80B3-22B36A5CD777}"/>
            </a:ext>
          </a:extLst>
        </xdr:cNvPr>
        <xdr:cNvSpPr txBox="1"/>
      </xdr:nvSpPr>
      <xdr:spPr>
        <a:xfrm>
          <a:off x="2631723"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33"/>
  <sheetViews>
    <sheetView zoomScale="90" zoomScaleNormal="90" workbookViewId="0">
      <selection activeCell="K33" sqref="A1:K33"/>
    </sheetView>
  </sheetViews>
  <sheetFormatPr defaultColWidth="9" defaultRowHeight="17.5"/>
  <cols>
    <col min="1" max="2" width="4.26953125" style="1" customWidth="1"/>
    <col min="3" max="3" width="14.26953125" style="1" customWidth="1"/>
    <col min="4" max="4" width="23" style="1" customWidth="1"/>
    <col min="5" max="5" width="16.36328125" style="1" customWidth="1"/>
    <col min="6" max="6" width="8.7265625" style="1" customWidth="1"/>
    <col min="7" max="7" width="11.26953125" style="1" customWidth="1"/>
    <col min="8" max="8" width="16.08984375" style="1" customWidth="1"/>
    <col min="9" max="9" width="6.26953125" style="1" customWidth="1"/>
    <col min="10" max="11" width="15.7265625" style="1" customWidth="1"/>
    <col min="12" max="12" width="9" style="1"/>
    <col min="13" max="13" width="18.90625" style="1" customWidth="1"/>
    <col min="14" max="16384" width="9" style="1"/>
  </cols>
  <sheetData>
    <row r="1" spans="1:13" ht="15" customHeight="1"/>
    <row r="2" spans="1:13" ht="34.5" customHeight="1">
      <c r="A2" s="2"/>
      <c r="B2" s="3"/>
      <c r="C2" s="109" t="s">
        <v>28</v>
      </c>
      <c r="D2" s="109"/>
      <c r="E2" s="109"/>
      <c r="F2" s="109"/>
      <c r="G2" s="109"/>
      <c r="H2" s="109"/>
      <c r="I2" s="3"/>
      <c r="J2" s="3"/>
      <c r="K2" s="3"/>
    </row>
    <row r="3" spans="1:13" ht="29.25" customHeight="1" thickBot="1">
      <c r="A3" s="77" t="s">
        <v>27</v>
      </c>
      <c r="B3" s="77"/>
      <c r="C3" s="77"/>
      <c r="D3" s="77"/>
      <c r="E3" s="78"/>
      <c r="F3" s="78"/>
      <c r="G3" s="78"/>
      <c r="H3" s="78"/>
      <c r="I3" s="4"/>
      <c r="J3" s="4"/>
      <c r="K3" s="4"/>
    </row>
    <row r="4" spans="1:13" ht="22.5" customHeight="1" thickBot="1">
      <c r="A4" s="4"/>
      <c r="B4" s="4"/>
      <c r="C4" s="4"/>
      <c r="D4" s="4"/>
      <c r="E4" s="5" t="s">
        <v>10</v>
      </c>
      <c r="F4" s="79">
        <v>300000</v>
      </c>
      <c r="G4" s="80"/>
      <c r="H4" s="6"/>
      <c r="I4" s="4"/>
      <c r="J4" s="5"/>
      <c r="K4" s="7"/>
    </row>
    <row r="5" spans="1:13" s="9" customFormat="1" ht="18" customHeight="1">
      <c r="A5" s="57" t="s">
        <v>32</v>
      </c>
      <c r="E5" s="81"/>
      <c r="F5" s="81"/>
      <c r="G5" s="84"/>
      <c r="H5" s="84"/>
      <c r="J5" s="10"/>
      <c r="K5" s="11" t="s">
        <v>18</v>
      </c>
    </row>
    <row r="6" spans="1:13" s="9" customFormat="1" ht="18" customHeight="1" thickBot="1">
      <c r="A6" s="8"/>
      <c r="E6" s="85"/>
      <c r="F6" s="85"/>
      <c r="G6" s="85"/>
      <c r="H6" s="85"/>
      <c r="J6" s="10"/>
      <c r="M6" s="72" t="s">
        <v>21</v>
      </c>
    </row>
    <row r="7" spans="1:13" s="13" customFormat="1" ht="15" customHeight="1">
      <c r="A7" s="59">
        <v>2017</v>
      </c>
      <c r="B7" s="12" t="s">
        <v>0</v>
      </c>
      <c r="C7" s="75" t="s">
        <v>20</v>
      </c>
      <c r="D7" s="82" t="s">
        <v>6</v>
      </c>
      <c r="E7" s="104" t="s">
        <v>7</v>
      </c>
      <c r="F7" s="106"/>
      <c r="G7" s="104" t="s">
        <v>3</v>
      </c>
      <c r="H7" s="106"/>
      <c r="I7" s="102" t="s">
        <v>9</v>
      </c>
      <c r="J7" s="104" t="s">
        <v>4</v>
      </c>
      <c r="K7" s="98" t="s">
        <v>5</v>
      </c>
      <c r="M7" s="71" t="s">
        <v>26</v>
      </c>
    </row>
    <row r="8" spans="1:13" s="13" customFormat="1" ht="15" customHeight="1" thickBot="1">
      <c r="A8" s="14" t="s">
        <v>1</v>
      </c>
      <c r="B8" s="15" t="s">
        <v>2</v>
      </c>
      <c r="C8" s="76"/>
      <c r="D8" s="83"/>
      <c r="E8" s="105"/>
      <c r="F8" s="107"/>
      <c r="G8" s="105"/>
      <c r="H8" s="107"/>
      <c r="I8" s="103"/>
      <c r="J8" s="105"/>
      <c r="K8" s="99"/>
      <c r="M8" s="71" t="s">
        <v>23</v>
      </c>
    </row>
    <row r="9" spans="1:13" s="9" customFormat="1" ht="22.5" customHeight="1" thickTop="1">
      <c r="A9" s="16">
        <v>8</v>
      </c>
      <c r="B9" s="17">
        <v>25</v>
      </c>
      <c r="C9" s="74" t="s">
        <v>25</v>
      </c>
      <c r="D9" s="18" t="s">
        <v>11</v>
      </c>
      <c r="E9" s="100" t="s">
        <v>12</v>
      </c>
      <c r="F9" s="101"/>
      <c r="G9" s="100" t="s">
        <v>13</v>
      </c>
      <c r="H9" s="101"/>
      <c r="I9" s="19">
        <v>1</v>
      </c>
      <c r="J9" s="20">
        <v>8800</v>
      </c>
      <c r="K9" s="21">
        <f>F4-J9</f>
        <v>291200</v>
      </c>
      <c r="M9" s="71" t="s">
        <v>25</v>
      </c>
    </row>
    <row r="10" spans="1:13" s="9" customFormat="1" ht="22.5" customHeight="1">
      <c r="A10" s="16">
        <v>8</v>
      </c>
      <c r="B10" s="22">
        <v>25</v>
      </c>
      <c r="C10" s="74" t="s">
        <v>34</v>
      </c>
      <c r="D10" s="23" t="s">
        <v>14</v>
      </c>
      <c r="E10" s="88" t="s">
        <v>35</v>
      </c>
      <c r="F10" s="89"/>
      <c r="G10" s="88" t="s">
        <v>36</v>
      </c>
      <c r="H10" s="89"/>
      <c r="I10" s="24">
        <v>2</v>
      </c>
      <c r="J10" s="25">
        <v>24800</v>
      </c>
      <c r="K10" s="26">
        <f>K9-J10</f>
        <v>266400</v>
      </c>
      <c r="M10" s="71" t="s">
        <v>22</v>
      </c>
    </row>
    <row r="11" spans="1:13" s="9" customFormat="1" ht="22.5" customHeight="1">
      <c r="A11" s="16">
        <v>9</v>
      </c>
      <c r="B11" s="22">
        <v>15</v>
      </c>
      <c r="C11" s="74" t="s">
        <v>26</v>
      </c>
      <c r="D11" s="23" t="s">
        <v>15</v>
      </c>
      <c r="E11" s="88" t="s">
        <v>16</v>
      </c>
      <c r="F11" s="89"/>
      <c r="G11" s="88" t="s">
        <v>17</v>
      </c>
      <c r="H11" s="89"/>
      <c r="I11" s="27">
        <v>3</v>
      </c>
      <c r="J11" s="28">
        <v>3200</v>
      </c>
      <c r="K11" s="26">
        <f>K10-J11</f>
        <v>263200</v>
      </c>
      <c r="M11" s="71" t="s">
        <v>24</v>
      </c>
    </row>
    <row r="12" spans="1:13" s="67" customFormat="1" ht="22.5" customHeight="1">
      <c r="A12" s="62">
        <v>2018</v>
      </c>
      <c r="B12" s="63" t="s">
        <v>0</v>
      </c>
      <c r="C12" s="63"/>
      <c r="D12" s="64"/>
      <c r="E12" s="113"/>
      <c r="F12" s="114"/>
      <c r="G12" s="113"/>
      <c r="H12" s="114"/>
      <c r="I12" s="65"/>
      <c r="J12" s="65"/>
      <c r="K12" s="66">
        <f>K11-J12</f>
        <v>263200</v>
      </c>
      <c r="M12" s="9"/>
    </row>
    <row r="13" spans="1:13" s="67" customFormat="1" ht="22.5" customHeight="1">
      <c r="A13" s="68"/>
      <c r="B13" s="69"/>
      <c r="C13" s="69"/>
      <c r="D13" s="64"/>
      <c r="E13" s="86"/>
      <c r="F13" s="87"/>
      <c r="G13" s="86"/>
      <c r="H13" s="87"/>
      <c r="I13" s="65" t="s">
        <v>19</v>
      </c>
      <c r="J13" s="70"/>
      <c r="K13" s="66">
        <f>K12-J13</f>
        <v>263200</v>
      </c>
      <c r="M13" s="9"/>
    </row>
    <row r="14" spans="1:13" s="9" customFormat="1" ht="22.5" customHeight="1">
      <c r="A14" s="60"/>
      <c r="B14" s="61"/>
      <c r="C14" s="61"/>
      <c r="D14" s="34"/>
      <c r="E14" s="90"/>
      <c r="F14" s="91"/>
      <c r="G14" s="90"/>
      <c r="H14" s="91"/>
      <c r="I14" s="31"/>
      <c r="J14" s="32"/>
      <c r="K14" s="26"/>
    </row>
    <row r="15" spans="1:13" s="9" customFormat="1" ht="22.5" customHeight="1">
      <c r="A15" s="29"/>
      <c r="B15" s="30"/>
      <c r="C15" s="30"/>
      <c r="D15" s="34"/>
      <c r="E15" s="90"/>
      <c r="F15" s="91"/>
      <c r="G15" s="90"/>
      <c r="H15" s="91"/>
      <c r="I15" s="31"/>
      <c r="J15" s="32"/>
      <c r="K15" s="26"/>
    </row>
    <row r="16" spans="1:13" s="9" customFormat="1" ht="22.5" customHeight="1">
      <c r="A16" s="29"/>
      <c r="B16" s="30"/>
      <c r="C16" s="30"/>
      <c r="D16" s="34"/>
      <c r="E16" s="90"/>
      <c r="F16" s="91"/>
      <c r="G16" s="90"/>
      <c r="H16" s="91"/>
      <c r="I16" s="31"/>
      <c r="J16" s="32"/>
      <c r="K16" s="33"/>
    </row>
    <row r="17" spans="1:13" s="9" customFormat="1" ht="22.5" customHeight="1">
      <c r="A17" s="29"/>
      <c r="B17" s="30"/>
      <c r="C17" s="30"/>
      <c r="D17" s="34"/>
      <c r="E17" s="90"/>
      <c r="F17" s="91"/>
      <c r="G17" s="90"/>
      <c r="H17" s="91"/>
      <c r="I17" s="31"/>
      <c r="J17" s="32"/>
      <c r="K17" s="33"/>
    </row>
    <row r="18" spans="1:13" s="9" customFormat="1" ht="22.5" customHeight="1">
      <c r="A18" s="29"/>
      <c r="B18" s="30"/>
      <c r="C18" s="30"/>
      <c r="D18" s="34"/>
      <c r="E18" s="90"/>
      <c r="F18" s="91"/>
      <c r="G18" s="90"/>
      <c r="H18" s="91"/>
      <c r="I18" s="31"/>
      <c r="J18" s="32"/>
      <c r="K18" s="33"/>
    </row>
    <row r="19" spans="1:13" s="9" customFormat="1" ht="22.5" customHeight="1">
      <c r="A19" s="29"/>
      <c r="B19" s="30"/>
      <c r="C19" s="30"/>
      <c r="D19" s="34"/>
      <c r="E19" s="90"/>
      <c r="F19" s="91"/>
      <c r="G19" s="90"/>
      <c r="H19" s="91"/>
      <c r="I19" s="31"/>
      <c r="J19" s="32"/>
      <c r="K19" s="33"/>
    </row>
    <row r="20" spans="1:13" s="9" customFormat="1" ht="22.5" customHeight="1">
      <c r="A20" s="29"/>
      <c r="B20" s="30"/>
      <c r="C20" s="30"/>
      <c r="D20" s="34"/>
      <c r="E20" s="90"/>
      <c r="F20" s="91"/>
      <c r="G20" s="90"/>
      <c r="H20" s="91"/>
      <c r="I20" s="31"/>
      <c r="J20" s="32"/>
      <c r="K20" s="33"/>
    </row>
    <row r="21" spans="1:13" s="9" customFormat="1" ht="22.5" customHeight="1">
      <c r="A21" s="29"/>
      <c r="B21" s="30"/>
      <c r="C21" s="30"/>
      <c r="D21" s="34"/>
      <c r="E21" s="90"/>
      <c r="F21" s="91"/>
      <c r="G21" s="90"/>
      <c r="H21" s="91"/>
      <c r="I21" s="31"/>
      <c r="J21" s="32"/>
      <c r="K21" s="33"/>
    </row>
    <row r="22" spans="1:13" s="9" customFormat="1" ht="22.5" customHeight="1">
      <c r="A22" s="29"/>
      <c r="B22" s="30"/>
      <c r="C22" s="30"/>
      <c r="D22" s="34"/>
      <c r="E22" s="90"/>
      <c r="F22" s="91"/>
      <c r="G22" s="90"/>
      <c r="H22" s="91"/>
      <c r="I22" s="31"/>
      <c r="J22" s="32"/>
      <c r="K22" s="33"/>
    </row>
    <row r="23" spans="1:13" s="9" customFormat="1" ht="22.5" customHeight="1">
      <c r="A23" s="29"/>
      <c r="B23" s="30"/>
      <c r="C23" s="30"/>
      <c r="D23" s="34"/>
      <c r="E23" s="90"/>
      <c r="F23" s="91"/>
      <c r="G23" s="90"/>
      <c r="H23" s="91"/>
      <c r="I23" s="31"/>
      <c r="J23" s="32"/>
      <c r="K23" s="33"/>
      <c r="M23" s="1"/>
    </row>
    <row r="24" spans="1:13" s="9" customFormat="1" ht="22.5" customHeight="1" thickBot="1">
      <c r="A24" s="35"/>
      <c r="B24" s="36"/>
      <c r="C24" s="36"/>
      <c r="D24" s="37"/>
      <c r="E24" s="96"/>
      <c r="F24" s="97"/>
      <c r="G24" s="96"/>
      <c r="H24" s="97"/>
      <c r="I24" s="38"/>
      <c r="J24" s="39"/>
      <c r="K24" s="40"/>
      <c r="M24" s="1"/>
    </row>
    <row r="25" spans="1:13" s="9" customFormat="1" ht="22.5" customHeight="1" thickTop="1" thickBot="1">
      <c r="A25" s="41"/>
      <c r="B25" s="42"/>
      <c r="C25" s="42"/>
      <c r="D25" s="43" t="s">
        <v>8</v>
      </c>
      <c r="E25" s="92"/>
      <c r="F25" s="93"/>
      <c r="G25" s="94"/>
      <c r="H25" s="95"/>
      <c r="I25" s="44"/>
      <c r="J25" s="45"/>
      <c r="K25" s="46"/>
      <c r="M25" s="1"/>
    </row>
    <row r="27" spans="1:13">
      <c r="H27" s="110" t="s">
        <v>30</v>
      </c>
      <c r="I27" s="111"/>
      <c r="J27" s="112"/>
    </row>
    <row r="28" spans="1:13">
      <c r="H28" s="71" t="s">
        <v>26</v>
      </c>
      <c r="I28" s="108"/>
      <c r="J28" s="108"/>
    </row>
    <row r="29" spans="1:13" ht="28">
      <c r="H29" s="71" t="s">
        <v>23</v>
      </c>
      <c r="I29" s="108"/>
      <c r="J29" s="108"/>
    </row>
    <row r="30" spans="1:13" ht="28">
      <c r="H30" s="71" t="s">
        <v>25</v>
      </c>
      <c r="I30" s="108"/>
      <c r="J30" s="108"/>
    </row>
    <row r="31" spans="1:13">
      <c r="H31" s="71" t="s">
        <v>22</v>
      </c>
      <c r="I31" s="108"/>
      <c r="J31" s="108"/>
    </row>
    <row r="32" spans="1:13">
      <c r="H32" s="71" t="s">
        <v>24</v>
      </c>
      <c r="I32" s="108"/>
      <c r="J32" s="108"/>
    </row>
    <row r="33" spans="8:10">
      <c r="H33" s="73" t="s">
        <v>31</v>
      </c>
      <c r="I33" s="108">
        <f>SUM(I28:J32)</f>
        <v>0</v>
      </c>
      <c r="J33" s="108"/>
    </row>
  </sheetData>
  <mergeCells count="57">
    <mergeCell ref="I33:J33"/>
    <mergeCell ref="C2:H2"/>
    <mergeCell ref="I28:J28"/>
    <mergeCell ref="I29:J29"/>
    <mergeCell ref="I30:J30"/>
    <mergeCell ref="I31:J31"/>
    <mergeCell ref="I32:J32"/>
    <mergeCell ref="H27:J27"/>
    <mergeCell ref="E12:F12"/>
    <mergeCell ref="G12:H12"/>
    <mergeCell ref="K7:K8"/>
    <mergeCell ref="E9:F9"/>
    <mergeCell ref="G9:H9"/>
    <mergeCell ref="E10:F10"/>
    <mergeCell ref="G10:H10"/>
    <mergeCell ref="E11:F11"/>
    <mergeCell ref="I7:I8"/>
    <mergeCell ref="J7:J8"/>
    <mergeCell ref="E7:F8"/>
    <mergeCell ref="G7:H8"/>
    <mergeCell ref="G22:H22"/>
    <mergeCell ref="E23:F23"/>
    <mergeCell ref="G23:H23"/>
    <mergeCell ref="E16:F16"/>
    <mergeCell ref="G16:H16"/>
    <mergeCell ref="E18:F18"/>
    <mergeCell ref="E17:F17"/>
    <mergeCell ref="G15:H15"/>
    <mergeCell ref="E25:F25"/>
    <mergeCell ref="G25:H25"/>
    <mergeCell ref="E24:F24"/>
    <mergeCell ref="G24:H24"/>
    <mergeCell ref="E21:F21"/>
    <mergeCell ref="E19:F19"/>
    <mergeCell ref="G21:H21"/>
    <mergeCell ref="G19:H19"/>
    <mergeCell ref="E22:F22"/>
    <mergeCell ref="E13:F13"/>
    <mergeCell ref="G11:H11"/>
    <mergeCell ref="G13:H13"/>
    <mergeCell ref="E20:F20"/>
    <mergeCell ref="G20:H20"/>
    <mergeCell ref="E14:F14"/>
    <mergeCell ref="G14:H14"/>
    <mergeCell ref="G17:H17"/>
    <mergeCell ref="G18:H18"/>
    <mergeCell ref="E15:F15"/>
    <mergeCell ref="C7:C8"/>
    <mergeCell ref="A3:D3"/>
    <mergeCell ref="E3:F3"/>
    <mergeCell ref="G3:H3"/>
    <mergeCell ref="F4:G4"/>
    <mergeCell ref="E5:F5"/>
    <mergeCell ref="D7:D8"/>
    <mergeCell ref="G5:H5"/>
    <mergeCell ref="E6:F6"/>
    <mergeCell ref="G6:H6"/>
  </mergeCells>
  <phoneticPr fontId="1"/>
  <dataValidations count="1">
    <dataValidation type="list" allowBlank="1" showInputMessage="1" showErrorMessage="1" sqref="C9:C11">
      <formula1>$M$7:$M$11</formula1>
    </dataValidation>
  </dataValidations>
  <printOptions horizontalCentered="1" verticalCentered="1"/>
  <pageMargins left="0.59055118110236227" right="0.59055118110236227" top="0.59055118110236227" bottom="0.59055118110236227" header="0.51181102362204722" footer="0.11811023622047245"/>
  <pageSetup paperSize="9" scale="80" orientation="landscape" r:id="rId1"/>
  <headerFooter alignWithMargins="0">
    <oddFooter xml:space="preserve">&amp;C
</oddFooter>
  </headerFooter>
  <customProperties>
    <customPr name="DVSECTION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3"/>
  <sheetViews>
    <sheetView tabSelected="1" zoomScale="90" zoomScaleNormal="100" workbookViewId="0">
      <pane xSplit="2" ySplit="7" topLeftCell="C8" activePane="bottomRight" state="frozen"/>
      <selection pane="topRight" activeCell="C1" sqref="C1"/>
      <selection pane="bottomLeft" activeCell="A5" sqref="A5"/>
      <selection pane="bottomRight" activeCell="C6" sqref="C6:C7"/>
    </sheetView>
  </sheetViews>
  <sheetFormatPr defaultColWidth="9" defaultRowHeight="17.5"/>
  <cols>
    <col min="1" max="2" width="4.26953125" style="1" customWidth="1"/>
    <col min="3" max="3" width="14" style="1" customWidth="1"/>
    <col min="4" max="4" width="20" style="1" customWidth="1"/>
    <col min="5" max="5" width="16.26953125" style="1" customWidth="1"/>
    <col min="6" max="6" width="8.7265625" style="1" customWidth="1"/>
    <col min="7" max="7" width="11.26953125" style="1" customWidth="1"/>
    <col min="8" max="8" width="16.08984375" style="1" customWidth="1"/>
    <col min="9" max="9" width="6.26953125" style="1" customWidth="1"/>
    <col min="10" max="11" width="15.7265625" style="1" customWidth="1"/>
    <col min="12" max="16384" width="9" style="1"/>
  </cols>
  <sheetData>
    <row r="1" spans="1:11" ht="46.5" customHeight="1">
      <c r="A1" s="119" t="s">
        <v>29</v>
      </c>
      <c r="B1" s="119"/>
      <c r="C1" s="119"/>
      <c r="D1" s="119"/>
      <c r="E1" s="119"/>
      <c r="F1" s="119"/>
      <c r="G1" s="119"/>
      <c r="H1" s="119"/>
      <c r="I1" s="119"/>
      <c r="J1" s="119"/>
      <c r="K1" s="119"/>
    </row>
    <row r="2" spans="1:11" ht="24" customHeight="1" thickBot="1">
      <c r="A2" s="77"/>
      <c r="B2" s="77"/>
      <c r="C2" s="77"/>
      <c r="D2" s="77"/>
      <c r="E2" s="78"/>
      <c r="F2" s="78"/>
      <c r="G2" s="78"/>
      <c r="H2" s="78"/>
      <c r="I2" s="4"/>
      <c r="J2" s="4"/>
      <c r="K2" s="4"/>
    </row>
    <row r="3" spans="1:11" ht="22.5" customHeight="1" thickBot="1">
      <c r="A3" s="4"/>
      <c r="B3" s="4"/>
      <c r="C3" s="4"/>
      <c r="D3" s="4"/>
      <c r="E3" s="5" t="s">
        <v>10</v>
      </c>
      <c r="F3" s="115"/>
      <c r="G3" s="116"/>
      <c r="H3" s="6"/>
      <c r="I3" s="4"/>
      <c r="J3" s="5"/>
      <c r="K3" s="7"/>
    </row>
    <row r="4" spans="1:11" s="9" customFormat="1" ht="18" customHeight="1">
      <c r="A4" s="58" t="s">
        <v>33</v>
      </c>
      <c r="E4" s="81"/>
      <c r="F4" s="81"/>
      <c r="G4" s="84"/>
      <c r="H4" s="84"/>
      <c r="J4" s="10"/>
      <c r="K4" s="47"/>
    </row>
    <row r="5" spans="1:11" s="9" customFormat="1" ht="18" customHeight="1" thickBot="1">
      <c r="A5" s="8"/>
      <c r="E5" s="85"/>
      <c r="F5" s="85"/>
      <c r="G5" s="85"/>
      <c r="H5" s="85"/>
      <c r="J5" s="10"/>
    </row>
    <row r="6" spans="1:11" s="13" customFormat="1" ht="18.75" customHeight="1">
      <c r="A6" s="59">
        <v>2018</v>
      </c>
      <c r="B6" s="12" t="s">
        <v>0</v>
      </c>
      <c r="C6" s="75" t="s">
        <v>20</v>
      </c>
      <c r="D6" s="82" t="s">
        <v>6</v>
      </c>
      <c r="E6" s="104" t="s">
        <v>7</v>
      </c>
      <c r="F6" s="106"/>
      <c r="G6" s="104" t="s">
        <v>3</v>
      </c>
      <c r="H6" s="106"/>
      <c r="I6" s="102" t="s">
        <v>9</v>
      </c>
      <c r="J6" s="104" t="s">
        <v>4</v>
      </c>
      <c r="K6" s="98" t="s">
        <v>5</v>
      </c>
    </row>
    <row r="7" spans="1:11" s="13" customFormat="1" ht="18.75" customHeight="1" thickBot="1">
      <c r="A7" s="14" t="s">
        <v>1</v>
      </c>
      <c r="B7" s="15" t="s">
        <v>2</v>
      </c>
      <c r="C7" s="76"/>
      <c r="D7" s="83"/>
      <c r="E7" s="105"/>
      <c r="F7" s="107"/>
      <c r="G7" s="105"/>
      <c r="H7" s="107"/>
      <c r="I7" s="103"/>
      <c r="J7" s="105"/>
      <c r="K7" s="99"/>
    </row>
    <row r="8" spans="1:11" s="9" customFormat="1" ht="22.5" customHeight="1" thickTop="1">
      <c r="A8" s="48"/>
      <c r="B8" s="49"/>
      <c r="C8" s="49"/>
      <c r="D8" s="50"/>
      <c r="E8" s="117"/>
      <c r="F8" s="118"/>
      <c r="G8" s="117"/>
      <c r="H8" s="118"/>
      <c r="I8" s="51"/>
      <c r="J8" s="52"/>
      <c r="K8" s="53">
        <f>F3-J8</f>
        <v>0</v>
      </c>
    </row>
    <row r="9" spans="1:11" s="9" customFormat="1" ht="22.5" customHeight="1">
      <c r="A9" s="54"/>
      <c r="B9" s="30"/>
      <c r="C9" s="30"/>
      <c r="D9" s="34"/>
      <c r="E9" s="90"/>
      <c r="F9" s="91"/>
      <c r="G9" s="90"/>
      <c r="H9" s="91"/>
      <c r="I9" s="55"/>
      <c r="J9" s="56"/>
      <c r="K9" s="33">
        <f t="shared" ref="K9:K15" si="0">K8-J9</f>
        <v>0</v>
      </c>
    </row>
    <row r="10" spans="1:11" s="9" customFormat="1" ht="22.5" customHeight="1">
      <c r="A10" s="54"/>
      <c r="B10" s="30"/>
      <c r="C10" s="30"/>
      <c r="D10" s="34"/>
      <c r="E10" s="90"/>
      <c r="F10" s="91"/>
      <c r="G10" s="90"/>
      <c r="H10" s="91"/>
      <c r="I10" s="55"/>
      <c r="J10" s="56"/>
      <c r="K10" s="33">
        <f t="shared" si="0"/>
        <v>0</v>
      </c>
    </row>
    <row r="11" spans="1:11" s="9" customFormat="1" ht="22.5" customHeight="1">
      <c r="A11" s="54"/>
      <c r="B11" s="30"/>
      <c r="C11" s="30"/>
      <c r="D11" s="34"/>
      <c r="E11" s="90"/>
      <c r="F11" s="91"/>
      <c r="G11" s="90"/>
      <c r="H11" s="91"/>
      <c r="I11" s="55"/>
      <c r="J11" s="56"/>
      <c r="K11" s="33">
        <f t="shared" si="0"/>
        <v>0</v>
      </c>
    </row>
    <row r="12" spans="1:11" s="9" customFormat="1" ht="22.5" customHeight="1">
      <c r="A12" s="54"/>
      <c r="B12" s="30"/>
      <c r="C12" s="30"/>
      <c r="D12" s="34"/>
      <c r="E12" s="90"/>
      <c r="F12" s="91"/>
      <c r="G12" s="90"/>
      <c r="H12" s="91"/>
      <c r="I12" s="55"/>
      <c r="J12" s="56"/>
      <c r="K12" s="33">
        <f t="shared" si="0"/>
        <v>0</v>
      </c>
    </row>
    <row r="13" spans="1:11" s="9" customFormat="1" ht="22.5" customHeight="1">
      <c r="A13" s="54"/>
      <c r="B13" s="30"/>
      <c r="C13" s="30"/>
      <c r="D13" s="34"/>
      <c r="E13" s="90"/>
      <c r="F13" s="91"/>
      <c r="G13" s="90"/>
      <c r="H13" s="91"/>
      <c r="I13" s="55"/>
      <c r="J13" s="56"/>
      <c r="K13" s="33">
        <f t="shared" si="0"/>
        <v>0</v>
      </c>
    </row>
    <row r="14" spans="1:11" s="9" customFormat="1" ht="22.5" customHeight="1" thickBot="1">
      <c r="A14" s="35"/>
      <c r="B14" s="36"/>
      <c r="C14" s="36"/>
      <c r="D14" s="37"/>
      <c r="E14" s="96"/>
      <c r="F14" s="97"/>
      <c r="G14" s="96"/>
      <c r="H14" s="97"/>
      <c r="I14" s="38"/>
      <c r="J14" s="39"/>
      <c r="K14" s="40">
        <f t="shared" si="0"/>
        <v>0</v>
      </c>
    </row>
    <row r="15" spans="1:11" s="9" customFormat="1" ht="22.5" customHeight="1" thickTop="1" thickBot="1">
      <c r="A15" s="41"/>
      <c r="B15" s="42"/>
      <c r="C15" s="42"/>
      <c r="D15" s="43" t="s">
        <v>8</v>
      </c>
      <c r="E15" s="92"/>
      <c r="F15" s="93"/>
      <c r="G15" s="94"/>
      <c r="H15" s="95"/>
      <c r="I15" s="44"/>
      <c r="J15" s="45"/>
      <c r="K15" s="46">
        <f t="shared" si="0"/>
        <v>0</v>
      </c>
    </row>
    <row r="17" spans="8:10">
      <c r="H17" s="110" t="s">
        <v>30</v>
      </c>
      <c r="I17" s="111"/>
      <c r="J17" s="112"/>
    </row>
    <row r="18" spans="8:10">
      <c r="H18" s="71" t="s">
        <v>26</v>
      </c>
      <c r="I18" s="108"/>
      <c r="J18" s="108"/>
    </row>
    <row r="19" spans="8:10" ht="28">
      <c r="H19" s="71" t="s">
        <v>23</v>
      </c>
      <c r="I19" s="108"/>
      <c r="J19" s="108"/>
    </row>
    <row r="20" spans="8:10" ht="28">
      <c r="H20" s="71" t="s">
        <v>25</v>
      </c>
      <c r="I20" s="108"/>
      <c r="J20" s="108"/>
    </row>
    <row r="21" spans="8:10">
      <c r="H21" s="71" t="s">
        <v>22</v>
      </c>
      <c r="I21" s="108"/>
      <c r="J21" s="108"/>
    </row>
    <row r="22" spans="8:10">
      <c r="H22" s="71" t="s">
        <v>24</v>
      </c>
      <c r="I22" s="108"/>
      <c r="J22" s="108"/>
    </row>
    <row r="23" spans="8:10">
      <c r="H23" s="73" t="s">
        <v>31</v>
      </c>
      <c r="I23" s="108">
        <f>SUM(I18:J22)</f>
        <v>0</v>
      </c>
      <c r="J23" s="108"/>
    </row>
  </sheetData>
  <mergeCells count="39">
    <mergeCell ref="I22:J22"/>
    <mergeCell ref="I23:J23"/>
    <mergeCell ref="H17:J17"/>
    <mergeCell ref="I18:J18"/>
    <mergeCell ref="I19:J19"/>
    <mergeCell ref="I20:J20"/>
    <mergeCell ref="I21:J21"/>
    <mergeCell ref="K6:K7"/>
    <mergeCell ref="A1:K1"/>
    <mergeCell ref="D6:D7"/>
    <mergeCell ref="I6:I7"/>
    <mergeCell ref="J6:J7"/>
    <mergeCell ref="E6:F7"/>
    <mergeCell ref="G6:H7"/>
    <mergeCell ref="E5:F5"/>
    <mergeCell ref="G5:H5"/>
    <mergeCell ref="G4:H4"/>
    <mergeCell ref="E8:F8"/>
    <mergeCell ref="G8:H8"/>
    <mergeCell ref="E9:F9"/>
    <mergeCell ref="G9:H9"/>
    <mergeCell ref="E10:F10"/>
    <mergeCell ref="G10:H10"/>
    <mergeCell ref="E14:F14"/>
    <mergeCell ref="G14:H14"/>
    <mergeCell ref="G13:H13"/>
    <mergeCell ref="E13:F13"/>
    <mergeCell ref="E15:F15"/>
    <mergeCell ref="G15:H15"/>
    <mergeCell ref="C6:C7"/>
    <mergeCell ref="A2:D2"/>
    <mergeCell ref="G12:H12"/>
    <mergeCell ref="E12:F12"/>
    <mergeCell ref="G11:H11"/>
    <mergeCell ref="E11:F11"/>
    <mergeCell ref="E2:F2"/>
    <mergeCell ref="G2:H2"/>
    <mergeCell ref="F3:G3"/>
    <mergeCell ref="E4:F4"/>
  </mergeCells>
  <phoneticPr fontId="1"/>
  <dataValidations count="1">
    <dataValidation type="list" allowBlank="1" showInputMessage="1" showErrorMessage="1" sqref="C8:C14">
      <formula1>$H$18:$H$22</formula1>
    </dataValidation>
  </dataValidations>
  <printOptions horizontalCentered="1"/>
  <pageMargins left="0.59055118110236227" right="0.59055118110236227" top="0.59055118110236227" bottom="0.59055118110236227" header="0.51181102362204722" footer="0.11811023622047245"/>
  <pageSetup paperSize="9" orientation="landscape" r:id="rId1"/>
  <headerFooter alignWithMargins="0">
    <oddHeader>&amp;L&amp;"メイリオ,レギュラー"&amp;12　&amp;U申請者　　　　　　　　　　　　㊞&amp;R&amp;"メイリオ,レギュラー"&amp;12&amp;Uページ　&amp;P</oddHeader>
    <oddFooter xml:space="preserve">&amp;C
</oddFooter>
  </headerFooter>
  <customProperties>
    <customPr name="DVSECTION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V4"/>
  <sheetViews>
    <sheetView workbookViewId="0"/>
  </sheetViews>
  <sheetFormatPr defaultRowHeight="13"/>
  <sheetData>
    <row r="1" spans="1:256">
      <c r="A1">
        <f>IF(記入例!1:1,"AAAAAH/xTwA=",0)</f>
        <v>0</v>
      </c>
      <c r="B1" t="e">
        <f>AND(記入例!A1,"AAAAAH/xTwE=")</f>
        <v>#VALUE!</v>
      </c>
      <c r="C1" t="e">
        <f>AND(記入例!B1,"AAAAAH/xTwI=")</f>
        <v>#VALUE!</v>
      </c>
      <c r="D1" t="e">
        <f>AND(記入例!D1,"AAAAAH/xTwM=")</f>
        <v>#VALUE!</v>
      </c>
      <c r="E1" t="e">
        <f>AND(記入例!E1,"AAAAAH/xTwQ=")</f>
        <v>#VALUE!</v>
      </c>
      <c r="F1" t="e">
        <f>AND(記入例!F1,"AAAAAH/xTwU=")</f>
        <v>#VALUE!</v>
      </c>
      <c r="G1" t="e">
        <f>AND(記入例!G1,"AAAAAH/xTwY=")</f>
        <v>#VALUE!</v>
      </c>
      <c r="H1" t="e">
        <f>AND(記入例!H1,"AAAAAH/xTwc=")</f>
        <v>#VALUE!</v>
      </c>
      <c r="I1" t="e">
        <f>AND(記入例!I1,"AAAAAH/xTwg=")</f>
        <v>#VALUE!</v>
      </c>
      <c r="J1" t="e">
        <f>AND(記入例!J1,"AAAAAH/xTwk=")</f>
        <v>#VALUE!</v>
      </c>
      <c r="K1" t="e">
        <f>AND(記入例!K1,"AAAAAH/xTwo=")</f>
        <v>#VALUE!</v>
      </c>
      <c r="L1">
        <f>IF(記入例!2:2,"AAAAAH/xTws=",0)</f>
        <v>0</v>
      </c>
      <c r="M1" t="e">
        <f>AND(記入例!A2,"AAAAAH/xTww=")</f>
        <v>#VALUE!</v>
      </c>
      <c r="N1" t="e">
        <f>AND(記入例!B2,"AAAAAH/xTw0=")</f>
        <v>#VALUE!</v>
      </c>
      <c r="O1" t="e">
        <f>AND(記入例!#REF!,"AAAAAH/xTw4=")</f>
        <v>#REF!</v>
      </c>
      <c r="P1" t="e">
        <f>AND(記入例!C2,"AAAAAH/xTw8=")</f>
        <v>#VALUE!</v>
      </c>
      <c r="Q1" t="e">
        <f>AND(記入例!F2,"AAAAAH/xTxA=")</f>
        <v>#VALUE!</v>
      </c>
      <c r="R1" t="e">
        <f>AND(記入例!G2,"AAAAAH/xTxE=")</f>
        <v>#VALUE!</v>
      </c>
      <c r="S1" t="e">
        <f>AND(記入例!H2,"AAAAAH/xTxI=")</f>
        <v>#VALUE!</v>
      </c>
      <c r="T1" t="e">
        <f>AND(記入例!I2,"AAAAAH/xTxM=")</f>
        <v>#VALUE!</v>
      </c>
      <c r="U1" t="e">
        <f>AND(記入例!J2,"AAAAAH/xTxQ=")</f>
        <v>#VALUE!</v>
      </c>
      <c r="V1" t="e">
        <f>AND(記入例!K2,"AAAAAH/xTxU=")</f>
        <v>#VALUE!</v>
      </c>
      <c r="W1">
        <f>IF(記入例!3:3,"AAAAAH/xTxY=",0)</f>
        <v>0</v>
      </c>
      <c r="X1" t="e">
        <f>AND(記入例!A3,"AAAAAH/xTxc=")</f>
        <v>#VALUE!</v>
      </c>
      <c r="Y1" t="e">
        <f>AND(記入例!B3,"AAAAAH/xTxg=")</f>
        <v>#VALUE!</v>
      </c>
      <c r="Z1" t="e">
        <f>AND(記入例!D3,"AAAAAH/xTxk=")</f>
        <v>#VALUE!</v>
      </c>
      <c r="AA1" t="e">
        <f>AND(記入例!E3,"AAAAAH/xTxo=")</f>
        <v>#VALUE!</v>
      </c>
      <c r="AB1" t="e">
        <f>AND(記入例!F3,"AAAAAH/xTxs=")</f>
        <v>#VALUE!</v>
      </c>
      <c r="AC1" t="e">
        <f>AND(記入例!G3,"AAAAAH/xTxw=")</f>
        <v>#VALUE!</v>
      </c>
      <c r="AD1" t="e">
        <f>AND(記入例!H3,"AAAAAH/xTx0=")</f>
        <v>#VALUE!</v>
      </c>
      <c r="AE1" t="e">
        <f>AND(記入例!I3,"AAAAAH/xTx4=")</f>
        <v>#VALUE!</v>
      </c>
      <c r="AF1" t="e">
        <f>AND(記入例!J3,"AAAAAH/xTx8=")</f>
        <v>#VALUE!</v>
      </c>
      <c r="AG1" t="e">
        <f>AND(記入例!K3,"AAAAAH/xTyA=")</f>
        <v>#VALUE!</v>
      </c>
      <c r="AH1">
        <f>IF(記入例!4:4,"AAAAAH/xTyE=",0)</f>
        <v>0</v>
      </c>
      <c r="AI1" t="e">
        <f>AND(記入例!A4,"AAAAAH/xTyI=")</f>
        <v>#VALUE!</v>
      </c>
      <c r="AJ1" t="e">
        <f>AND(記入例!B4,"AAAAAH/xTyM=")</f>
        <v>#VALUE!</v>
      </c>
      <c r="AK1" t="e">
        <f>AND(記入例!D4,"AAAAAH/xTyQ=")</f>
        <v>#VALUE!</v>
      </c>
      <c r="AL1" t="e">
        <f>AND(記入例!E4,"AAAAAH/xTyU=")</f>
        <v>#VALUE!</v>
      </c>
      <c r="AM1" t="e">
        <f>AND(記入例!F4,"AAAAAH/xTyY=")</f>
        <v>#VALUE!</v>
      </c>
      <c r="AN1" t="e">
        <f>AND(記入例!G4,"AAAAAH/xTyc=")</f>
        <v>#VALUE!</v>
      </c>
      <c r="AO1" t="e">
        <f>AND(記入例!H4,"AAAAAH/xTyg=")</f>
        <v>#VALUE!</v>
      </c>
      <c r="AP1" t="e">
        <f>AND(記入例!I4,"AAAAAH/xTyk=")</f>
        <v>#VALUE!</v>
      </c>
      <c r="AQ1" t="e">
        <f>AND(記入例!J4,"AAAAAH/xTyo=")</f>
        <v>#VALUE!</v>
      </c>
      <c r="AR1" t="e">
        <f>AND(記入例!K4,"AAAAAH/xTys=")</f>
        <v>#VALUE!</v>
      </c>
      <c r="AS1">
        <f>IF(記入例!5:5,"AAAAAH/xTyw=",0)</f>
        <v>0</v>
      </c>
      <c r="AT1" t="e">
        <f>AND(記入例!A5,"AAAAAH/xTy0=")</f>
        <v>#VALUE!</v>
      </c>
      <c r="AU1" t="e">
        <f>AND(記入例!B5,"AAAAAH/xTy4=")</f>
        <v>#VALUE!</v>
      </c>
      <c r="AV1" t="e">
        <f>AND(記入例!D5,"AAAAAH/xTy8=")</f>
        <v>#VALUE!</v>
      </c>
      <c r="AW1" t="e">
        <f>AND(記入例!E5,"AAAAAH/xTzA=")</f>
        <v>#VALUE!</v>
      </c>
      <c r="AX1" t="e">
        <f>AND(記入例!F5,"AAAAAH/xTzE=")</f>
        <v>#VALUE!</v>
      </c>
      <c r="AY1" t="e">
        <f>AND(記入例!G5,"AAAAAH/xTzI=")</f>
        <v>#VALUE!</v>
      </c>
      <c r="AZ1" t="e">
        <f>AND(記入例!H5,"AAAAAH/xTzM=")</f>
        <v>#VALUE!</v>
      </c>
      <c r="BA1" t="e">
        <f>AND(記入例!I5,"AAAAAH/xTzQ=")</f>
        <v>#VALUE!</v>
      </c>
      <c r="BB1" t="e">
        <f>AND(記入例!J5,"AAAAAH/xTzU=")</f>
        <v>#VALUE!</v>
      </c>
      <c r="BC1" t="e">
        <f>AND(記入例!K5,"AAAAAH/xTzY=")</f>
        <v>#VALUE!</v>
      </c>
      <c r="BD1">
        <f>IF(記入例!6:6,"AAAAAH/xTzc=",0)</f>
        <v>0</v>
      </c>
      <c r="BE1" t="e">
        <f>AND(記入例!A6,"AAAAAH/xTzg=")</f>
        <v>#VALUE!</v>
      </c>
      <c r="BF1" t="e">
        <f>AND(記入例!B6,"AAAAAH/xTzk=")</f>
        <v>#VALUE!</v>
      </c>
      <c r="BG1" t="e">
        <f>AND(記入例!D6,"AAAAAH/xTzo=")</f>
        <v>#VALUE!</v>
      </c>
      <c r="BH1" t="e">
        <f>AND(記入例!E6,"AAAAAH/xTzs=")</f>
        <v>#VALUE!</v>
      </c>
      <c r="BI1" t="e">
        <f>AND(記入例!F6,"AAAAAH/xTzw=")</f>
        <v>#VALUE!</v>
      </c>
      <c r="BJ1" t="e">
        <f>AND(記入例!G6,"AAAAAH/xTz0=")</f>
        <v>#VALUE!</v>
      </c>
      <c r="BK1" t="e">
        <f>AND(記入例!H6,"AAAAAH/xTz4=")</f>
        <v>#VALUE!</v>
      </c>
      <c r="BL1" t="e">
        <f>AND(記入例!I6,"AAAAAH/xTz8=")</f>
        <v>#VALUE!</v>
      </c>
      <c r="BM1" t="e">
        <f>AND(記入例!J6,"AAAAAH/xT0A=")</f>
        <v>#VALUE!</v>
      </c>
      <c r="BN1" t="e">
        <f>AND(記入例!K6,"AAAAAH/xT0E=")</f>
        <v>#VALUE!</v>
      </c>
      <c r="BO1">
        <f>IF(記入例!7:7,"AAAAAH/xT0I=",0)</f>
        <v>0</v>
      </c>
      <c r="BP1" t="e">
        <f>AND(記入例!A7,"AAAAAH/xT0M=")</f>
        <v>#VALUE!</v>
      </c>
      <c r="BQ1" t="e">
        <f>AND(記入例!B7,"AAAAAH/xT0Q=")</f>
        <v>#VALUE!</v>
      </c>
      <c r="BR1" t="e">
        <f>AND(記入例!D7,"AAAAAH/xT0U=")</f>
        <v>#VALUE!</v>
      </c>
      <c r="BS1" t="e">
        <f>AND(記入例!E7,"AAAAAH/xT0Y=")</f>
        <v>#VALUE!</v>
      </c>
      <c r="BT1" t="e">
        <f>AND(記入例!F7,"AAAAAH/xT0c=")</f>
        <v>#VALUE!</v>
      </c>
      <c r="BU1" t="e">
        <f>AND(記入例!G7,"AAAAAH/xT0g=")</f>
        <v>#VALUE!</v>
      </c>
      <c r="BV1" t="e">
        <f>AND(記入例!H7,"AAAAAH/xT0k=")</f>
        <v>#VALUE!</v>
      </c>
      <c r="BW1" t="e">
        <f>AND(記入例!I7,"AAAAAH/xT0o=")</f>
        <v>#VALUE!</v>
      </c>
      <c r="BX1" t="e">
        <f>AND(記入例!J7,"AAAAAH/xT0s=")</f>
        <v>#VALUE!</v>
      </c>
      <c r="BY1" t="e">
        <f>AND(記入例!K7,"AAAAAH/xT0w=")</f>
        <v>#VALUE!</v>
      </c>
      <c r="BZ1">
        <f>IF(記入例!8:8,"AAAAAH/xT00=",0)</f>
        <v>0</v>
      </c>
      <c r="CA1" t="e">
        <f>AND(記入例!A8,"AAAAAH/xT04=")</f>
        <v>#VALUE!</v>
      </c>
      <c r="CB1" t="e">
        <f>AND(記入例!B8,"AAAAAH/xT08=")</f>
        <v>#VALUE!</v>
      </c>
      <c r="CC1" t="e">
        <f>AND(記入例!D8,"AAAAAH/xT1A=")</f>
        <v>#VALUE!</v>
      </c>
      <c r="CD1" t="e">
        <f>AND(記入例!E8,"AAAAAH/xT1E=")</f>
        <v>#VALUE!</v>
      </c>
      <c r="CE1" t="e">
        <f>AND(記入例!F8,"AAAAAH/xT1I=")</f>
        <v>#VALUE!</v>
      </c>
      <c r="CF1" t="e">
        <f>AND(記入例!G8,"AAAAAH/xT1M=")</f>
        <v>#VALUE!</v>
      </c>
      <c r="CG1" t="e">
        <f>AND(記入例!H8,"AAAAAH/xT1Q=")</f>
        <v>#VALUE!</v>
      </c>
      <c r="CH1" t="e">
        <f>AND(記入例!I8,"AAAAAH/xT1U=")</f>
        <v>#VALUE!</v>
      </c>
      <c r="CI1" t="e">
        <f>AND(記入例!J8,"AAAAAH/xT1Y=")</f>
        <v>#VALUE!</v>
      </c>
      <c r="CJ1" t="e">
        <f>AND(記入例!K8,"AAAAAH/xT1c=")</f>
        <v>#VALUE!</v>
      </c>
      <c r="CK1">
        <f>IF(記入例!9:9,"AAAAAH/xT1g=",0)</f>
        <v>0</v>
      </c>
      <c r="CL1" t="e">
        <f>AND(記入例!A9,"AAAAAH/xT1k=")</f>
        <v>#VALUE!</v>
      </c>
      <c r="CM1" t="e">
        <f>AND(記入例!B9,"AAAAAH/xT1o=")</f>
        <v>#VALUE!</v>
      </c>
      <c r="CN1" t="e">
        <f>AND(記入例!D9,"AAAAAH/xT1s=")</f>
        <v>#VALUE!</v>
      </c>
      <c r="CO1" t="e">
        <f>AND(記入例!E9,"AAAAAH/xT1w=")</f>
        <v>#VALUE!</v>
      </c>
      <c r="CP1" t="e">
        <f>AND(記入例!F9,"AAAAAH/xT10=")</f>
        <v>#VALUE!</v>
      </c>
      <c r="CQ1" t="e">
        <f>AND(記入例!G9,"AAAAAH/xT14=")</f>
        <v>#VALUE!</v>
      </c>
      <c r="CR1" t="e">
        <f>AND(記入例!H9,"AAAAAH/xT18=")</f>
        <v>#VALUE!</v>
      </c>
      <c r="CS1" t="e">
        <f>AND(記入例!I9,"AAAAAH/xT2A=")</f>
        <v>#VALUE!</v>
      </c>
      <c r="CT1" t="e">
        <f>AND(記入例!J9,"AAAAAH/xT2E=")</f>
        <v>#VALUE!</v>
      </c>
      <c r="CU1" t="e">
        <f>AND(記入例!K9,"AAAAAH/xT2I=")</f>
        <v>#VALUE!</v>
      </c>
      <c r="CV1">
        <f>IF(記入例!10:10,"AAAAAH/xT2M=",0)</f>
        <v>0</v>
      </c>
      <c r="CW1" t="e">
        <f>AND(記入例!A10,"AAAAAH/xT2Q=")</f>
        <v>#VALUE!</v>
      </c>
      <c r="CX1" t="e">
        <f>AND(記入例!B10,"AAAAAH/xT2U=")</f>
        <v>#VALUE!</v>
      </c>
      <c r="CY1" t="e">
        <f>AND(記入例!D10,"AAAAAH/xT2Y=")</f>
        <v>#VALUE!</v>
      </c>
      <c r="CZ1" t="e">
        <f>AND(記入例!E10,"AAAAAH/xT2c=")</f>
        <v>#VALUE!</v>
      </c>
      <c r="DA1" t="e">
        <f>AND(記入例!F10,"AAAAAH/xT2g=")</f>
        <v>#VALUE!</v>
      </c>
      <c r="DB1" t="e">
        <f>AND(記入例!G10,"AAAAAH/xT2k=")</f>
        <v>#VALUE!</v>
      </c>
      <c r="DC1" t="e">
        <f>AND(記入例!H10,"AAAAAH/xT2o=")</f>
        <v>#VALUE!</v>
      </c>
      <c r="DD1" t="e">
        <f>AND(記入例!I10,"AAAAAH/xT2s=")</f>
        <v>#VALUE!</v>
      </c>
      <c r="DE1" t="e">
        <f>AND(記入例!J10,"AAAAAH/xT2w=")</f>
        <v>#VALUE!</v>
      </c>
      <c r="DF1" t="e">
        <f>AND(記入例!K10,"AAAAAH/xT20=")</f>
        <v>#VALUE!</v>
      </c>
      <c r="DG1">
        <f>IF(記入例!11:11,"AAAAAH/xT24=",0)</f>
        <v>0</v>
      </c>
      <c r="DH1" t="e">
        <f>AND(記入例!A11,"AAAAAH/xT28=")</f>
        <v>#VALUE!</v>
      </c>
      <c r="DI1" t="e">
        <f>AND(記入例!B11,"AAAAAH/xT3A=")</f>
        <v>#VALUE!</v>
      </c>
      <c r="DJ1" t="e">
        <f>AND(記入例!D11,"AAAAAH/xT3E=")</f>
        <v>#VALUE!</v>
      </c>
      <c r="DK1" t="e">
        <f>AND(記入例!E11,"AAAAAH/xT3I=")</f>
        <v>#VALUE!</v>
      </c>
      <c r="DL1" t="e">
        <f>AND(記入例!F11,"AAAAAH/xT3M=")</f>
        <v>#VALUE!</v>
      </c>
      <c r="DM1" t="e">
        <f>AND(記入例!G11,"AAAAAH/xT3Q=")</f>
        <v>#VALUE!</v>
      </c>
      <c r="DN1" t="e">
        <f>AND(記入例!H11,"AAAAAH/xT3U=")</f>
        <v>#VALUE!</v>
      </c>
      <c r="DO1" t="e">
        <f>AND(記入例!I11,"AAAAAH/xT3Y=")</f>
        <v>#VALUE!</v>
      </c>
      <c r="DP1" t="e">
        <f>AND(記入例!J11,"AAAAAH/xT3c=")</f>
        <v>#VALUE!</v>
      </c>
      <c r="DQ1" t="e">
        <f>AND(記入例!K11,"AAAAAH/xT3g=")</f>
        <v>#VALUE!</v>
      </c>
      <c r="DR1">
        <f>IF(記入例!12:12,"AAAAAH/xT3k=",0)</f>
        <v>0</v>
      </c>
      <c r="DS1" t="e">
        <f>AND(記入例!A12,"AAAAAH/xT3o=")</f>
        <v>#VALUE!</v>
      </c>
      <c r="DT1" t="e">
        <f>AND(記入例!B12,"AAAAAH/xT3s=")</f>
        <v>#VALUE!</v>
      </c>
      <c r="DU1" t="e">
        <f>AND(記入例!D12,"AAAAAH/xT3w=")</f>
        <v>#VALUE!</v>
      </c>
      <c r="DV1" t="e">
        <f>AND(記入例!E12,"AAAAAH/xT30=")</f>
        <v>#VALUE!</v>
      </c>
      <c r="DW1" t="e">
        <f>AND(記入例!F12,"AAAAAH/xT34=")</f>
        <v>#VALUE!</v>
      </c>
      <c r="DX1" t="e">
        <f>AND(記入例!G12,"AAAAAH/xT38=")</f>
        <v>#VALUE!</v>
      </c>
      <c r="DY1" t="e">
        <f>AND(記入例!H12,"AAAAAH/xT4A=")</f>
        <v>#VALUE!</v>
      </c>
      <c r="DZ1" t="e">
        <f>AND(記入例!I12,"AAAAAH/xT4E=")</f>
        <v>#VALUE!</v>
      </c>
      <c r="EA1" t="e">
        <f>AND(記入例!J12,"AAAAAH/xT4I=")</f>
        <v>#VALUE!</v>
      </c>
      <c r="EB1" t="e">
        <f>AND(記入例!K12,"AAAAAH/xT4M=")</f>
        <v>#VALUE!</v>
      </c>
      <c r="EC1">
        <f>IF(記入例!13:13,"AAAAAH/xT4Q=",0)</f>
        <v>0</v>
      </c>
      <c r="ED1" t="e">
        <f>AND(記入例!A13,"AAAAAH/xT4U=")</f>
        <v>#VALUE!</v>
      </c>
      <c r="EE1" t="e">
        <f>AND(記入例!B13,"AAAAAH/xT4Y=")</f>
        <v>#VALUE!</v>
      </c>
      <c r="EF1" t="e">
        <f>AND(記入例!D13,"AAAAAH/xT4c=")</f>
        <v>#VALUE!</v>
      </c>
      <c r="EG1" t="e">
        <f>AND(記入例!E13,"AAAAAH/xT4g=")</f>
        <v>#VALUE!</v>
      </c>
      <c r="EH1" t="e">
        <f>AND(記入例!F13,"AAAAAH/xT4k=")</f>
        <v>#VALUE!</v>
      </c>
      <c r="EI1" t="e">
        <f>AND(記入例!G13,"AAAAAH/xT4o=")</f>
        <v>#VALUE!</v>
      </c>
      <c r="EJ1" t="e">
        <f>AND(記入例!H13,"AAAAAH/xT4s=")</f>
        <v>#VALUE!</v>
      </c>
      <c r="EK1" t="e">
        <f>AND(記入例!I13,"AAAAAH/xT4w=")</f>
        <v>#VALUE!</v>
      </c>
      <c r="EL1" t="e">
        <f>AND(記入例!J13,"AAAAAH/xT40=")</f>
        <v>#VALUE!</v>
      </c>
      <c r="EM1" t="e">
        <f>AND(記入例!K13,"AAAAAH/xT44=")</f>
        <v>#VALUE!</v>
      </c>
      <c r="EN1">
        <f>IF(記入例!14:14,"AAAAAH/xT48=",0)</f>
        <v>0</v>
      </c>
      <c r="EO1" t="e">
        <f>AND(記入例!A14,"AAAAAH/xT5A=")</f>
        <v>#VALUE!</v>
      </c>
      <c r="EP1" t="e">
        <f>AND(記入例!B14,"AAAAAH/xT5E=")</f>
        <v>#VALUE!</v>
      </c>
      <c r="EQ1" t="e">
        <f>AND(記入例!D14,"AAAAAH/xT5I=")</f>
        <v>#VALUE!</v>
      </c>
      <c r="ER1" t="e">
        <f>AND(記入例!E14,"AAAAAH/xT5M=")</f>
        <v>#VALUE!</v>
      </c>
      <c r="ES1" t="e">
        <f>AND(記入例!F14,"AAAAAH/xT5Q=")</f>
        <v>#VALUE!</v>
      </c>
      <c r="ET1" t="e">
        <f>AND(記入例!G14,"AAAAAH/xT5U=")</f>
        <v>#VALUE!</v>
      </c>
      <c r="EU1" t="e">
        <f>AND(記入例!H14,"AAAAAH/xT5Y=")</f>
        <v>#VALUE!</v>
      </c>
      <c r="EV1" t="e">
        <f>AND(記入例!I14,"AAAAAH/xT5c=")</f>
        <v>#VALUE!</v>
      </c>
      <c r="EW1" t="e">
        <f>AND(記入例!J14,"AAAAAH/xT5g=")</f>
        <v>#VALUE!</v>
      </c>
      <c r="EX1" t="e">
        <f>AND(記入例!K14,"AAAAAH/xT5k=")</f>
        <v>#VALUE!</v>
      </c>
      <c r="EY1">
        <f>IF(記入例!15:15,"AAAAAH/xT5o=",0)</f>
        <v>0</v>
      </c>
      <c r="EZ1" t="e">
        <f>AND(記入例!A15,"AAAAAH/xT5s=")</f>
        <v>#VALUE!</v>
      </c>
      <c r="FA1" t="e">
        <f>AND(記入例!B15,"AAAAAH/xT5w=")</f>
        <v>#VALUE!</v>
      </c>
      <c r="FB1" t="e">
        <f>AND(記入例!D15,"AAAAAH/xT50=")</f>
        <v>#VALUE!</v>
      </c>
      <c r="FC1" t="e">
        <f>AND(記入例!E15,"AAAAAH/xT54=")</f>
        <v>#VALUE!</v>
      </c>
      <c r="FD1" t="e">
        <f>AND(記入例!F15,"AAAAAH/xT58=")</f>
        <v>#VALUE!</v>
      </c>
      <c r="FE1" t="e">
        <f>AND(記入例!G15,"AAAAAH/xT6A=")</f>
        <v>#VALUE!</v>
      </c>
      <c r="FF1" t="e">
        <f>AND(記入例!H15,"AAAAAH/xT6E=")</f>
        <v>#VALUE!</v>
      </c>
      <c r="FG1" t="e">
        <f>AND(記入例!I15,"AAAAAH/xT6I=")</f>
        <v>#VALUE!</v>
      </c>
      <c r="FH1" t="e">
        <f>AND(記入例!J15,"AAAAAH/xT6M=")</f>
        <v>#VALUE!</v>
      </c>
      <c r="FI1" t="e">
        <f>AND(記入例!K15,"AAAAAH/xT6Q=")</f>
        <v>#VALUE!</v>
      </c>
      <c r="FJ1">
        <f>IF(記入例!16:16,"AAAAAH/xT6U=",0)</f>
        <v>0</v>
      </c>
      <c r="FK1" t="e">
        <f>AND(記入例!A16,"AAAAAH/xT6Y=")</f>
        <v>#VALUE!</v>
      </c>
      <c r="FL1" t="e">
        <f>AND(記入例!B16,"AAAAAH/xT6c=")</f>
        <v>#VALUE!</v>
      </c>
      <c r="FM1" t="e">
        <f>AND(記入例!D16,"AAAAAH/xT6g=")</f>
        <v>#VALUE!</v>
      </c>
      <c r="FN1" t="e">
        <f>AND(記入例!E16,"AAAAAH/xT6k=")</f>
        <v>#VALUE!</v>
      </c>
      <c r="FO1" t="e">
        <f>AND(記入例!F16,"AAAAAH/xT6o=")</f>
        <v>#VALUE!</v>
      </c>
      <c r="FP1" t="e">
        <f>AND(記入例!G16,"AAAAAH/xT6s=")</f>
        <v>#VALUE!</v>
      </c>
      <c r="FQ1" t="e">
        <f>AND(記入例!H16,"AAAAAH/xT6w=")</f>
        <v>#VALUE!</v>
      </c>
      <c r="FR1" t="e">
        <f>AND(記入例!I16,"AAAAAH/xT60=")</f>
        <v>#VALUE!</v>
      </c>
      <c r="FS1" t="e">
        <f>AND(記入例!J16,"AAAAAH/xT64=")</f>
        <v>#VALUE!</v>
      </c>
      <c r="FT1" t="e">
        <f>AND(記入例!K16,"AAAAAH/xT68=")</f>
        <v>#VALUE!</v>
      </c>
      <c r="FU1">
        <f>IF(記入例!17:17,"AAAAAH/xT7A=",0)</f>
        <v>0</v>
      </c>
      <c r="FV1" t="e">
        <f>AND(記入例!A17,"AAAAAH/xT7E=")</f>
        <v>#VALUE!</v>
      </c>
      <c r="FW1" t="e">
        <f>AND(記入例!B17,"AAAAAH/xT7I=")</f>
        <v>#VALUE!</v>
      </c>
      <c r="FX1" t="e">
        <f>AND(記入例!D17,"AAAAAH/xT7M=")</f>
        <v>#VALUE!</v>
      </c>
      <c r="FY1" t="e">
        <f>AND(記入例!E17,"AAAAAH/xT7Q=")</f>
        <v>#VALUE!</v>
      </c>
      <c r="FZ1" t="e">
        <f>AND(記入例!F17,"AAAAAH/xT7U=")</f>
        <v>#VALUE!</v>
      </c>
      <c r="GA1" t="e">
        <f>AND(記入例!G17,"AAAAAH/xT7Y=")</f>
        <v>#VALUE!</v>
      </c>
      <c r="GB1" t="e">
        <f>AND(記入例!H17,"AAAAAH/xT7c=")</f>
        <v>#VALUE!</v>
      </c>
      <c r="GC1" t="e">
        <f>AND(記入例!I17,"AAAAAH/xT7g=")</f>
        <v>#VALUE!</v>
      </c>
      <c r="GD1" t="e">
        <f>AND(記入例!J17,"AAAAAH/xT7k=")</f>
        <v>#VALUE!</v>
      </c>
      <c r="GE1" t="e">
        <f>AND(記入例!K17,"AAAAAH/xT7o=")</f>
        <v>#VALUE!</v>
      </c>
      <c r="GF1">
        <f>IF(記入例!18:18,"AAAAAH/xT7s=",0)</f>
        <v>0</v>
      </c>
      <c r="GG1" t="e">
        <f>AND(記入例!A18,"AAAAAH/xT7w=")</f>
        <v>#VALUE!</v>
      </c>
      <c r="GH1" t="e">
        <f>AND(記入例!B18,"AAAAAH/xT70=")</f>
        <v>#VALUE!</v>
      </c>
      <c r="GI1" t="e">
        <f>AND(記入例!D18,"AAAAAH/xT74=")</f>
        <v>#VALUE!</v>
      </c>
      <c r="GJ1" t="e">
        <f>AND(記入例!E18,"AAAAAH/xT78=")</f>
        <v>#VALUE!</v>
      </c>
      <c r="GK1" t="e">
        <f>AND(記入例!F18,"AAAAAH/xT8A=")</f>
        <v>#VALUE!</v>
      </c>
      <c r="GL1" t="e">
        <f>AND(記入例!G18,"AAAAAH/xT8E=")</f>
        <v>#VALUE!</v>
      </c>
      <c r="GM1" t="e">
        <f>AND(記入例!H18,"AAAAAH/xT8I=")</f>
        <v>#VALUE!</v>
      </c>
      <c r="GN1" t="e">
        <f>AND(記入例!I18,"AAAAAH/xT8M=")</f>
        <v>#VALUE!</v>
      </c>
      <c r="GO1" t="e">
        <f>AND(記入例!J18,"AAAAAH/xT8Q=")</f>
        <v>#VALUE!</v>
      </c>
      <c r="GP1" t="e">
        <f>AND(記入例!K18,"AAAAAH/xT8U=")</f>
        <v>#VALUE!</v>
      </c>
      <c r="GQ1">
        <f>IF(記入例!19:19,"AAAAAH/xT8Y=",0)</f>
        <v>0</v>
      </c>
      <c r="GR1" t="e">
        <f>AND(記入例!A19,"AAAAAH/xT8c=")</f>
        <v>#VALUE!</v>
      </c>
      <c r="GS1" t="e">
        <f>AND(記入例!B19,"AAAAAH/xT8g=")</f>
        <v>#VALUE!</v>
      </c>
      <c r="GT1" t="e">
        <f>AND(記入例!D19,"AAAAAH/xT8k=")</f>
        <v>#VALUE!</v>
      </c>
      <c r="GU1" t="e">
        <f>AND(記入例!E19,"AAAAAH/xT8o=")</f>
        <v>#VALUE!</v>
      </c>
      <c r="GV1" t="e">
        <f>AND(記入例!F19,"AAAAAH/xT8s=")</f>
        <v>#VALUE!</v>
      </c>
      <c r="GW1" t="e">
        <f>AND(記入例!G19,"AAAAAH/xT8w=")</f>
        <v>#VALUE!</v>
      </c>
      <c r="GX1" t="e">
        <f>AND(記入例!H19,"AAAAAH/xT80=")</f>
        <v>#VALUE!</v>
      </c>
      <c r="GY1" t="e">
        <f>AND(記入例!I19,"AAAAAH/xT84=")</f>
        <v>#VALUE!</v>
      </c>
      <c r="GZ1" t="e">
        <f>AND(記入例!J19,"AAAAAH/xT88=")</f>
        <v>#VALUE!</v>
      </c>
      <c r="HA1" t="e">
        <f>AND(記入例!K19,"AAAAAH/xT9A=")</f>
        <v>#VALUE!</v>
      </c>
      <c r="HB1">
        <f>IF(記入例!20:20,"AAAAAH/xT9E=",0)</f>
        <v>0</v>
      </c>
      <c r="HC1" t="e">
        <f>AND(記入例!A20,"AAAAAH/xT9I=")</f>
        <v>#VALUE!</v>
      </c>
      <c r="HD1" t="e">
        <f>AND(記入例!B20,"AAAAAH/xT9M=")</f>
        <v>#VALUE!</v>
      </c>
      <c r="HE1" t="e">
        <f>AND(記入例!D20,"AAAAAH/xT9Q=")</f>
        <v>#VALUE!</v>
      </c>
      <c r="HF1" t="e">
        <f>AND(記入例!E20,"AAAAAH/xT9U=")</f>
        <v>#VALUE!</v>
      </c>
      <c r="HG1" t="e">
        <f>AND(記入例!F20,"AAAAAH/xT9Y=")</f>
        <v>#VALUE!</v>
      </c>
      <c r="HH1" t="e">
        <f>AND(記入例!G20,"AAAAAH/xT9c=")</f>
        <v>#VALUE!</v>
      </c>
      <c r="HI1" t="e">
        <f>AND(記入例!H20,"AAAAAH/xT9g=")</f>
        <v>#VALUE!</v>
      </c>
      <c r="HJ1" t="e">
        <f>AND(記入例!I20,"AAAAAH/xT9k=")</f>
        <v>#VALUE!</v>
      </c>
      <c r="HK1" t="e">
        <f>AND(記入例!J20,"AAAAAH/xT9o=")</f>
        <v>#VALUE!</v>
      </c>
      <c r="HL1" t="e">
        <f>AND(記入例!K20,"AAAAAH/xT9s=")</f>
        <v>#VALUE!</v>
      </c>
      <c r="HM1">
        <f>IF(記入例!21:21,"AAAAAH/xT9w=",0)</f>
        <v>0</v>
      </c>
      <c r="HN1" t="e">
        <f>AND(記入例!A21,"AAAAAH/xT90=")</f>
        <v>#VALUE!</v>
      </c>
      <c r="HO1" t="e">
        <f>AND(記入例!B21,"AAAAAH/xT94=")</f>
        <v>#VALUE!</v>
      </c>
      <c r="HP1" t="e">
        <f>AND(記入例!D21,"AAAAAH/xT98=")</f>
        <v>#VALUE!</v>
      </c>
      <c r="HQ1" t="e">
        <f>AND(記入例!E21,"AAAAAH/xT+A=")</f>
        <v>#VALUE!</v>
      </c>
      <c r="HR1" t="e">
        <f>AND(記入例!F21,"AAAAAH/xT+E=")</f>
        <v>#VALUE!</v>
      </c>
      <c r="HS1" t="e">
        <f>AND(記入例!G21,"AAAAAH/xT+I=")</f>
        <v>#VALUE!</v>
      </c>
      <c r="HT1" t="e">
        <f>AND(記入例!H21,"AAAAAH/xT+M=")</f>
        <v>#VALUE!</v>
      </c>
      <c r="HU1" t="e">
        <f>AND(記入例!I21,"AAAAAH/xT+Q=")</f>
        <v>#VALUE!</v>
      </c>
      <c r="HV1" t="e">
        <f>AND(記入例!J21,"AAAAAH/xT+U=")</f>
        <v>#VALUE!</v>
      </c>
      <c r="HW1" t="e">
        <f>AND(記入例!K21,"AAAAAH/xT+Y=")</f>
        <v>#VALUE!</v>
      </c>
      <c r="HX1">
        <f>IF(記入例!22:22,"AAAAAH/xT+c=",0)</f>
        <v>0</v>
      </c>
      <c r="HY1" t="e">
        <f>AND(記入例!A22,"AAAAAH/xT+g=")</f>
        <v>#VALUE!</v>
      </c>
      <c r="HZ1" t="e">
        <f>AND(記入例!B22,"AAAAAH/xT+k=")</f>
        <v>#VALUE!</v>
      </c>
      <c r="IA1" t="e">
        <f>AND(記入例!D22,"AAAAAH/xT+o=")</f>
        <v>#VALUE!</v>
      </c>
      <c r="IB1" t="e">
        <f>AND(記入例!E22,"AAAAAH/xT+s=")</f>
        <v>#VALUE!</v>
      </c>
      <c r="IC1" t="e">
        <f>AND(記入例!F22,"AAAAAH/xT+w=")</f>
        <v>#VALUE!</v>
      </c>
      <c r="ID1" t="e">
        <f>AND(記入例!G22,"AAAAAH/xT+0=")</f>
        <v>#VALUE!</v>
      </c>
      <c r="IE1" t="e">
        <f>AND(記入例!H22,"AAAAAH/xT+4=")</f>
        <v>#VALUE!</v>
      </c>
      <c r="IF1" t="e">
        <f>AND(記入例!I22,"AAAAAH/xT+8=")</f>
        <v>#VALUE!</v>
      </c>
      <c r="IG1" t="e">
        <f>AND(記入例!J22,"AAAAAH/xT/A=")</f>
        <v>#VALUE!</v>
      </c>
      <c r="IH1" t="e">
        <f>AND(記入例!K22,"AAAAAH/xT/E=")</f>
        <v>#VALUE!</v>
      </c>
      <c r="II1">
        <f>IF(記入例!23:23,"AAAAAH/xT/I=",0)</f>
        <v>0</v>
      </c>
      <c r="IJ1" t="e">
        <f>AND(記入例!A23,"AAAAAH/xT/M=")</f>
        <v>#VALUE!</v>
      </c>
      <c r="IK1" t="e">
        <f>AND(記入例!B23,"AAAAAH/xT/Q=")</f>
        <v>#VALUE!</v>
      </c>
      <c r="IL1" t="e">
        <f>AND(記入例!D23,"AAAAAH/xT/U=")</f>
        <v>#VALUE!</v>
      </c>
      <c r="IM1" t="e">
        <f>AND(記入例!E23,"AAAAAH/xT/Y=")</f>
        <v>#VALUE!</v>
      </c>
      <c r="IN1" t="e">
        <f>AND(記入例!F23,"AAAAAH/xT/c=")</f>
        <v>#VALUE!</v>
      </c>
      <c r="IO1" t="e">
        <f>AND(記入例!G23,"AAAAAH/xT/g=")</f>
        <v>#VALUE!</v>
      </c>
      <c r="IP1" t="e">
        <f>AND(記入例!H23,"AAAAAH/xT/k=")</f>
        <v>#VALUE!</v>
      </c>
      <c r="IQ1" t="e">
        <f>AND(記入例!I23,"AAAAAH/xT/o=")</f>
        <v>#VALUE!</v>
      </c>
      <c r="IR1" t="e">
        <f>AND(記入例!J23,"AAAAAH/xT/s=")</f>
        <v>#VALUE!</v>
      </c>
      <c r="IS1" t="e">
        <f>AND(記入例!K23,"AAAAAH/xT/w=")</f>
        <v>#VALUE!</v>
      </c>
      <c r="IT1">
        <f>IF(記入例!24:24,"AAAAAH/xT/0=",0)</f>
        <v>0</v>
      </c>
      <c r="IU1" t="e">
        <f>AND(記入例!A24,"AAAAAH/xT/4=")</f>
        <v>#VALUE!</v>
      </c>
      <c r="IV1" t="e">
        <f>AND(記入例!B24,"AAAAAH/xT/8=")</f>
        <v>#VALUE!</v>
      </c>
    </row>
    <row r="2" spans="1:256">
      <c r="A2" t="e">
        <f>AND(記入例!D24,"AAAAAHZ9/wA=")</f>
        <v>#VALUE!</v>
      </c>
      <c r="B2" t="e">
        <f>AND(記入例!E24,"AAAAAHZ9/wE=")</f>
        <v>#VALUE!</v>
      </c>
      <c r="C2" t="e">
        <f>AND(記入例!F24,"AAAAAHZ9/wI=")</f>
        <v>#VALUE!</v>
      </c>
      <c r="D2" t="e">
        <f>AND(記入例!G24,"AAAAAHZ9/wM=")</f>
        <v>#VALUE!</v>
      </c>
      <c r="E2" t="e">
        <f>AND(記入例!H24,"AAAAAHZ9/wQ=")</f>
        <v>#VALUE!</v>
      </c>
      <c r="F2" t="e">
        <f>AND(記入例!I24,"AAAAAHZ9/wU=")</f>
        <v>#VALUE!</v>
      </c>
      <c r="G2" t="e">
        <f>AND(記入例!J24,"AAAAAHZ9/wY=")</f>
        <v>#VALUE!</v>
      </c>
      <c r="H2" t="e">
        <f>AND(記入例!K24,"AAAAAHZ9/wc=")</f>
        <v>#VALUE!</v>
      </c>
      <c r="I2">
        <f>IF(記入例!25:25,"AAAAAHZ9/wg=",0)</f>
        <v>0</v>
      </c>
      <c r="J2" t="e">
        <f>AND(記入例!A25,"AAAAAHZ9/wk=")</f>
        <v>#VALUE!</v>
      </c>
      <c r="K2" t="e">
        <f>AND(記入例!B25,"AAAAAHZ9/wo=")</f>
        <v>#VALUE!</v>
      </c>
      <c r="L2" t="e">
        <f>AND(記入例!D25,"AAAAAHZ9/ws=")</f>
        <v>#VALUE!</v>
      </c>
      <c r="M2" t="e">
        <f>AND(記入例!E25,"AAAAAHZ9/ww=")</f>
        <v>#VALUE!</v>
      </c>
      <c r="N2" t="e">
        <f>AND(記入例!F25,"AAAAAHZ9/w0=")</f>
        <v>#VALUE!</v>
      </c>
      <c r="O2" t="e">
        <f>AND(記入例!G25,"AAAAAHZ9/w4=")</f>
        <v>#VALUE!</v>
      </c>
      <c r="P2" t="e">
        <f>AND(記入例!H25,"AAAAAHZ9/w8=")</f>
        <v>#VALUE!</v>
      </c>
      <c r="Q2" t="e">
        <f>AND(記入例!I25,"AAAAAHZ9/xA=")</f>
        <v>#VALUE!</v>
      </c>
      <c r="R2" t="e">
        <f>AND(記入例!J25,"AAAAAHZ9/xE=")</f>
        <v>#VALUE!</v>
      </c>
      <c r="S2" t="e">
        <f>AND(記入例!K25,"AAAAAHZ9/xI=")</f>
        <v>#VALUE!</v>
      </c>
      <c r="T2">
        <f>IF(記入例!A:A,"AAAAAHZ9/xM=",0)</f>
        <v>0</v>
      </c>
      <c r="U2">
        <f>IF(記入例!B:B,"AAAAAHZ9/xQ=",0)</f>
        <v>0</v>
      </c>
      <c r="V2">
        <f>IF(記入例!D:D,"AAAAAHZ9/xU=",0)</f>
        <v>0</v>
      </c>
      <c r="W2">
        <f>IF(記入例!E:E,"AAAAAHZ9/xY=",0)</f>
        <v>0</v>
      </c>
      <c r="X2">
        <f>IF(記入例!F:F,"AAAAAHZ9/xc=",0)</f>
        <v>0</v>
      </c>
      <c r="Y2">
        <f>IF(記入例!G:G,"AAAAAHZ9/xg=",0)</f>
        <v>0</v>
      </c>
      <c r="Z2">
        <f>IF(記入例!H:H,"AAAAAHZ9/xk=",0)</f>
        <v>0</v>
      </c>
      <c r="AA2">
        <f>IF(記入例!I:I,"AAAAAHZ9/xo=",0)</f>
        <v>0</v>
      </c>
      <c r="AB2">
        <f>IF(記入例!J:J,"AAAAAHZ9/xs=",0)</f>
        <v>0</v>
      </c>
      <c r="AC2">
        <f>IF(記入例!K:K,"AAAAAHZ9/xw=",0)</f>
        <v>0</v>
      </c>
      <c r="AD2">
        <f>IF('日本精神保健看護学会　会計報告書'!1:1,"AAAAAHZ9/x0=",0)</f>
        <v>0</v>
      </c>
      <c r="AE2" t="e">
        <f>AND('日本精神保健看護学会　会計報告書'!A1,"AAAAAHZ9/x4=")</f>
        <v>#VALUE!</v>
      </c>
      <c r="AF2" t="e">
        <f>AND('日本精神保健看護学会　会計報告書'!B1,"AAAAAHZ9/x8=")</f>
        <v>#VALUE!</v>
      </c>
      <c r="AG2" t="e">
        <f>AND('日本精神保健看護学会　会計報告書'!D1,"AAAAAHZ9/yA=")</f>
        <v>#VALUE!</v>
      </c>
      <c r="AH2" t="e">
        <f>AND('日本精神保健看護学会　会計報告書'!E1,"AAAAAHZ9/yE=")</f>
        <v>#VALUE!</v>
      </c>
      <c r="AI2" t="e">
        <f>AND('日本精神保健看護学会　会計報告書'!F1,"AAAAAHZ9/yI=")</f>
        <v>#VALUE!</v>
      </c>
      <c r="AJ2" t="e">
        <f>AND('日本精神保健看護学会　会計報告書'!G1,"AAAAAHZ9/yM=")</f>
        <v>#VALUE!</v>
      </c>
      <c r="AK2" t="e">
        <f>AND('日本精神保健看護学会　会計報告書'!H1,"AAAAAHZ9/yQ=")</f>
        <v>#VALUE!</v>
      </c>
      <c r="AL2" t="e">
        <f>AND('日本精神保健看護学会　会計報告書'!I1,"AAAAAHZ9/yU=")</f>
        <v>#VALUE!</v>
      </c>
      <c r="AM2" t="e">
        <f>AND('日本精神保健看護学会　会計報告書'!J1,"AAAAAHZ9/yY=")</f>
        <v>#VALUE!</v>
      </c>
      <c r="AN2" t="e">
        <f>AND('日本精神保健看護学会　会計報告書'!K1,"AAAAAHZ9/yc=")</f>
        <v>#VALUE!</v>
      </c>
      <c r="AO2">
        <f>IF('日本精神保健看護学会　会計報告書'!2:2,"AAAAAHZ9/yg=",0)</f>
        <v>0</v>
      </c>
      <c r="AP2" t="e">
        <f>AND('日本精神保健看護学会　会計報告書'!A2,"AAAAAHZ9/yk=")</f>
        <v>#VALUE!</v>
      </c>
      <c r="AQ2" t="e">
        <f>AND('日本精神保健看護学会　会計報告書'!B2,"AAAAAHZ9/yo=")</f>
        <v>#VALUE!</v>
      </c>
      <c r="AR2" t="e">
        <f>AND('日本精神保健看護学会　会計報告書'!D2,"AAAAAHZ9/ys=")</f>
        <v>#VALUE!</v>
      </c>
      <c r="AS2" t="e">
        <f>AND('日本精神保健看護学会　会計報告書'!E2,"AAAAAHZ9/yw=")</f>
        <v>#VALUE!</v>
      </c>
      <c r="AT2" t="e">
        <f>AND('日本精神保健看護学会　会計報告書'!F2,"AAAAAHZ9/y0=")</f>
        <v>#VALUE!</v>
      </c>
      <c r="AU2" t="e">
        <f>AND('日本精神保健看護学会　会計報告書'!G2,"AAAAAHZ9/y4=")</f>
        <v>#VALUE!</v>
      </c>
      <c r="AV2" t="e">
        <f>AND('日本精神保健看護学会　会計報告書'!H2,"AAAAAHZ9/y8=")</f>
        <v>#VALUE!</v>
      </c>
      <c r="AW2" t="e">
        <f>AND('日本精神保健看護学会　会計報告書'!I2,"AAAAAHZ9/zA=")</f>
        <v>#VALUE!</v>
      </c>
      <c r="AX2" t="e">
        <f>AND('日本精神保健看護学会　会計報告書'!J2,"AAAAAHZ9/zE=")</f>
        <v>#VALUE!</v>
      </c>
      <c r="AY2" t="e">
        <f>AND('日本精神保健看護学会　会計報告書'!K2,"AAAAAHZ9/zI=")</f>
        <v>#VALUE!</v>
      </c>
      <c r="AZ2">
        <f>IF('日本精神保健看護学会　会計報告書'!3:3,"AAAAAHZ9/zM=",0)</f>
        <v>0</v>
      </c>
      <c r="BA2" t="e">
        <f>AND('日本精神保健看護学会　会計報告書'!A3,"AAAAAHZ9/zQ=")</f>
        <v>#VALUE!</v>
      </c>
      <c r="BB2" t="e">
        <f>AND('日本精神保健看護学会　会計報告書'!B3,"AAAAAHZ9/zU=")</f>
        <v>#VALUE!</v>
      </c>
      <c r="BC2" t="e">
        <f>AND('日本精神保健看護学会　会計報告書'!D3,"AAAAAHZ9/zY=")</f>
        <v>#VALUE!</v>
      </c>
      <c r="BD2" t="e">
        <f>AND('日本精神保健看護学会　会計報告書'!E3,"AAAAAHZ9/zc=")</f>
        <v>#VALUE!</v>
      </c>
      <c r="BE2" t="e">
        <f>AND('日本精神保健看護学会　会計報告書'!F3,"AAAAAHZ9/zg=")</f>
        <v>#VALUE!</v>
      </c>
      <c r="BF2" t="e">
        <f>AND('日本精神保健看護学会　会計報告書'!G3,"AAAAAHZ9/zk=")</f>
        <v>#VALUE!</v>
      </c>
      <c r="BG2" t="e">
        <f>AND('日本精神保健看護学会　会計報告書'!H3,"AAAAAHZ9/zo=")</f>
        <v>#VALUE!</v>
      </c>
      <c r="BH2" t="e">
        <f>AND('日本精神保健看護学会　会計報告書'!I3,"AAAAAHZ9/zs=")</f>
        <v>#VALUE!</v>
      </c>
      <c r="BI2" t="e">
        <f>AND('日本精神保健看護学会　会計報告書'!J3,"AAAAAHZ9/zw=")</f>
        <v>#VALUE!</v>
      </c>
      <c r="BJ2" t="e">
        <f>AND('日本精神保健看護学会　会計報告書'!K3,"AAAAAHZ9/z0=")</f>
        <v>#VALUE!</v>
      </c>
      <c r="BK2">
        <f>IF('日本精神保健看護学会　会計報告書'!4:4,"AAAAAHZ9/z4=",0)</f>
        <v>0</v>
      </c>
      <c r="BL2" t="e">
        <f>AND('日本精神保健看護学会　会計報告書'!A4,"AAAAAHZ9/z8=")</f>
        <v>#VALUE!</v>
      </c>
      <c r="BM2" t="e">
        <f>AND('日本精神保健看護学会　会計報告書'!B4,"AAAAAHZ9/0A=")</f>
        <v>#VALUE!</v>
      </c>
      <c r="BN2" t="e">
        <f>AND('日本精神保健看護学会　会計報告書'!D4,"AAAAAHZ9/0E=")</f>
        <v>#VALUE!</v>
      </c>
      <c r="BO2" t="e">
        <f>AND('日本精神保健看護学会　会計報告書'!E4,"AAAAAHZ9/0I=")</f>
        <v>#VALUE!</v>
      </c>
      <c r="BP2" t="e">
        <f>AND('日本精神保健看護学会　会計報告書'!F4,"AAAAAHZ9/0M=")</f>
        <v>#VALUE!</v>
      </c>
      <c r="BQ2" t="e">
        <f>AND('日本精神保健看護学会　会計報告書'!G4,"AAAAAHZ9/0Q=")</f>
        <v>#VALUE!</v>
      </c>
      <c r="BR2" t="e">
        <f>AND('日本精神保健看護学会　会計報告書'!H4,"AAAAAHZ9/0U=")</f>
        <v>#VALUE!</v>
      </c>
      <c r="BS2" t="e">
        <f>AND('日本精神保健看護学会　会計報告書'!I4,"AAAAAHZ9/0Y=")</f>
        <v>#VALUE!</v>
      </c>
      <c r="BT2" t="e">
        <f>AND('日本精神保健看護学会　会計報告書'!J4,"AAAAAHZ9/0c=")</f>
        <v>#VALUE!</v>
      </c>
      <c r="BU2" t="e">
        <f>AND('日本精神保健看護学会　会計報告書'!K4,"AAAAAHZ9/0g=")</f>
        <v>#VALUE!</v>
      </c>
      <c r="BV2">
        <f>IF('日本精神保健看護学会　会計報告書'!5:5,"AAAAAHZ9/0k=",0)</f>
        <v>0</v>
      </c>
      <c r="BW2" t="e">
        <f>AND('日本精神保健看護学会　会計報告書'!A5,"AAAAAHZ9/0o=")</f>
        <v>#VALUE!</v>
      </c>
      <c r="BX2" t="e">
        <f>AND('日本精神保健看護学会　会計報告書'!B5,"AAAAAHZ9/0s=")</f>
        <v>#VALUE!</v>
      </c>
      <c r="BY2" t="e">
        <f>AND('日本精神保健看護学会　会計報告書'!D5,"AAAAAHZ9/0w=")</f>
        <v>#VALUE!</v>
      </c>
      <c r="BZ2" t="e">
        <f>AND('日本精神保健看護学会　会計報告書'!E5,"AAAAAHZ9/00=")</f>
        <v>#VALUE!</v>
      </c>
      <c r="CA2" t="e">
        <f>AND('日本精神保健看護学会　会計報告書'!F5,"AAAAAHZ9/04=")</f>
        <v>#VALUE!</v>
      </c>
      <c r="CB2" t="e">
        <f>AND('日本精神保健看護学会　会計報告書'!G5,"AAAAAHZ9/08=")</f>
        <v>#VALUE!</v>
      </c>
      <c r="CC2" t="e">
        <f>AND('日本精神保健看護学会　会計報告書'!H5,"AAAAAHZ9/1A=")</f>
        <v>#VALUE!</v>
      </c>
      <c r="CD2" t="e">
        <f>AND('日本精神保健看護学会　会計報告書'!I5,"AAAAAHZ9/1E=")</f>
        <v>#VALUE!</v>
      </c>
      <c r="CE2" t="e">
        <f>AND('日本精神保健看護学会　会計報告書'!J5,"AAAAAHZ9/1I=")</f>
        <v>#VALUE!</v>
      </c>
      <c r="CF2" t="e">
        <f>AND('日本精神保健看護学会　会計報告書'!K5,"AAAAAHZ9/1M=")</f>
        <v>#VALUE!</v>
      </c>
      <c r="CG2">
        <f>IF('日本精神保健看護学会　会計報告書'!6:6,"AAAAAHZ9/1Q=",0)</f>
        <v>0</v>
      </c>
      <c r="CH2" t="e">
        <f>AND('日本精神保健看護学会　会計報告書'!A6,"AAAAAHZ9/1U=")</f>
        <v>#VALUE!</v>
      </c>
      <c r="CI2" t="e">
        <f>AND('日本精神保健看護学会　会計報告書'!B6,"AAAAAHZ9/1Y=")</f>
        <v>#VALUE!</v>
      </c>
      <c r="CJ2" t="e">
        <f>AND('日本精神保健看護学会　会計報告書'!D6,"AAAAAHZ9/1c=")</f>
        <v>#VALUE!</v>
      </c>
      <c r="CK2" t="e">
        <f>AND('日本精神保健看護学会　会計報告書'!E6,"AAAAAHZ9/1g=")</f>
        <v>#VALUE!</v>
      </c>
      <c r="CL2" t="e">
        <f>AND('日本精神保健看護学会　会計報告書'!F6,"AAAAAHZ9/1k=")</f>
        <v>#VALUE!</v>
      </c>
      <c r="CM2" t="e">
        <f>AND('日本精神保健看護学会　会計報告書'!G6,"AAAAAHZ9/1o=")</f>
        <v>#VALUE!</v>
      </c>
      <c r="CN2" t="e">
        <f>AND('日本精神保健看護学会　会計報告書'!H6,"AAAAAHZ9/1s=")</f>
        <v>#VALUE!</v>
      </c>
      <c r="CO2" t="e">
        <f>AND('日本精神保健看護学会　会計報告書'!I6,"AAAAAHZ9/1w=")</f>
        <v>#VALUE!</v>
      </c>
      <c r="CP2" t="e">
        <f>AND('日本精神保健看護学会　会計報告書'!J6,"AAAAAHZ9/10=")</f>
        <v>#VALUE!</v>
      </c>
      <c r="CQ2" t="e">
        <f>AND('日本精神保健看護学会　会計報告書'!K6,"AAAAAHZ9/14=")</f>
        <v>#VALUE!</v>
      </c>
      <c r="CR2">
        <f>IF('日本精神保健看護学会　会計報告書'!7:7,"AAAAAHZ9/18=",0)</f>
        <v>0</v>
      </c>
      <c r="CS2" t="e">
        <f>AND('日本精神保健看護学会　会計報告書'!A7,"AAAAAHZ9/2A=")</f>
        <v>#VALUE!</v>
      </c>
      <c r="CT2" t="e">
        <f>AND('日本精神保健看護学会　会計報告書'!B7,"AAAAAHZ9/2E=")</f>
        <v>#VALUE!</v>
      </c>
      <c r="CU2" t="e">
        <f>AND('日本精神保健看護学会　会計報告書'!D7,"AAAAAHZ9/2I=")</f>
        <v>#VALUE!</v>
      </c>
      <c r="CV2" t="e">
        <f>AND('日本精神保健看護学会　会計報告書'!E7,"AAAAAHZ9/2M=")</f>
        <v>#VALUE!</v>
      </c>
      <c r="CW2" t="e">
        <f>AND('日本精神保健看護学会　会計報告書'!F7,"AAAAAHZ9/2Q=")</f>
        <v>#VALUE!</v>
      </c>
      <c r="CX2" t="e">
        <f>AND('日本精神保健看護学会　会計報告書'!G7,"AAAAAHZ9/2U=")</f>
        <v>#VALUE!</v>
      </c>
      <c r="CY2" t="e">
        <f>AND('日本精神保健看護学会　会計報告書'!H7,"AAAAAHZ9/2Y=")</f>
        <v>#VALUE!</v>
      </c>
      <c r="CZ2" t="e">
        <f>AND('日本精神保健看護学会　会計報告書'!I7,"AAAAAHZ9/2c=")</f>
        <v>#VALUE!</v>
      </c>
      <c r="DA2" t="e">
        <f>AND('日本精神保健看護学会　会計報告書'!J7,"AAAAAHZ9/2g=")</f>
        <v>#VALUE!</v>
      </c>
      <c r="DB2" t="e">
        <f>AND('日本精神保健看護学会　会計報告書'!K7,"AAAAAHZ9/2k=")</f>
        <v>#VALUE!</v>
      </c>
      <c r="DC2">
        <f>IF('日本精神保健看護学会　会計報告書'!8:8,"AAAAAHZ9/2o=",0)</f>
        <v>0</v>
      </c>
      <c r="DD2" t="e">
        <f>AND('日本精神保健看護学会　会計報告書'!A8,"AAAAAHZ9/2s=")</f>
        <v>#VALUE!</v>
      </c>
      <c r="DE2" t="e">
        <f>AND('日本精神保健看護学会　会計報告書'!B8,"AAAAAHZ9/2w=")</f>
        <v>#VALUE!</v>
      </c>
      <c r="DF2" t="e">
        <f>AND('日本精神保健看護学会　会計報告書'!D8,"AAAAAHZ9/20=")</f>
        <v>#VALUE!</v>
      </c>
      <c r="DG2" t="e">
        <f>AND('日本精神保健看護学会　会計報告書'!E8,"AAAAAHZ9/24=")</f>
        <v>#VALUE!</v>
      </c>
      <c r="DH2" t="e">
        <f>AND('日本精神保健看護学会　会計報告書'!F8,"AAAAAHZ9/28=")</f>
        <v>#VALUE!</v>
      </c>
      <c r="DI2" t="e">
        <f>AND('日本精神保健看護学会　会計報告書'!G8,"AAAAAHZ9/3A=")</f>
        <v>#VALUE!</v>
      </c>
      <c r="DJ2" t="e">
        <f>AND('日本精神保健看護学会　会計報告書'!H8,"AAAAAHZ9/3E=")</f>
        <v>#VALUE!</v>
      </c>
      <c r="DK2" t="e">
        <f>AND('日本精神保健看護学会　会計報告書'!I8,"AAAAAHZ9/3I=")</f>
        <v>#VALUE!</v>
      </c>
      <c r="DL2" t="e">
        <f>AND('日本精神保健看護学会　会計報告書'!J8,"AAAAAHZ9/3M=")</f>
        <v>#VALUE!</v>
      </c>
      <c r="DM2" t="e">
        <f>AND('日本精神保健看護学会　会計報告書'!K8,"AAAAAHZ9/3Q=")</f>
        <v>#VALUE!</v>
      </c>
      <c r="DN2">
        <f>IF('日本精神保健看護学会　会計報告書'!9:9,"AAAAAHZ9/3U=",0)</f>
        <v>0</v>
      </c>
      <c r="DO2" t="e">
        <f>AND('日本精神保健看護学会　会計報告書'!A9,"AAAAAHZ9/3Y=")</f>
        <v>#VALUE!</v>
      </c>
      <c r="DP2" t="e">
        <f>AND('日本精神保健看護学会　会計報告書'!B9,"AAAAAHZ9/3c=")</f>
        <v>#VALUE!</v>
      </c>
      <c r="DQ2" t="e">
        <f>AND('日本精神保健看護学会　会計報告書'!D9,"AAAAAHZ9/3g=")</f>
        <v>#VALUE!</v>
      </c>
      <c r="DR2" t="e">
        <f>AND('日本精神保健看護学会　会計報告書'!E9,"AAAAAHZ9/3k=")</f>
        <v>#VALUE!</v>
      </c>
      <c r="DS2" t="e">
        <f>AND('日本精神保健看護学会　会計報告書'!F9,"AAAAAHZ9/3o=")</f>
        <v>#VALUE!</v>
      </c>
      <c r="DT2" t="e">
        <f>AND('日本精神保健看護学会　会計報告書'!G9,"AAAAAHZ9/3s=")</f>
        <v>#VALUE!</v>
      </c>
      <c r="DU2" t="e">
        <f>AND('日本精神保健看護学会　会計報告書'!H9,"AAAAAHZ9/3w=")</f>
        <v>#VALUE!</v>
      </c>
      <c r="DV2" t="e">
        <f>AND('日本精神保健看護学会　会計報告書'!I9,"AAAAAHZ9/30=")</f>
        <v>#VALUE!</v>
      </c>
      <c r="DW2" t="e">
        <f>AND('日本精神保健看護学会　会計報告書'!J9,"AAAAAHZ9/34=")</f>
        <v>#VALUE!</v>
      </c>
      <c r="DX2" t="e">
        <f>AND('日本精神保健看護学会　会計報告書'!K9,"AAAAAHZ9/38=")</f>
        <v>#VALUE!</v>
      </c>
      <c r="DY2">
        <f>IF('日本精神保健看護学会　会計報告書'!10:10,"AAAAAHZ9/4A=",0)</f>
        <v>0</v>
      </c>
      <c r="DZ2" t="e">
        <f>AND('日本精神保健看護学会　会計報告書'!A10,"AAAAAHZ9/4E=")</f>
        <v>#VALUE!</v>
      </c>
      <c r="EA2" t="e">
        <f>AND('日本精神保健看護学会　会計報告書'!B10,"AAAAAHZ9/4I=")</f>
        <v>#VALUE!</v>
      </c>
      <c r="EB2" t="e">
        <f>AND('日本精神保健看護学会　会計報告書'!D10,"AAAAAHZ9/4M=")</f>
        <v>#VALUE!</v>
      </c>
      <c r="EC2" t="e">
        <f>AND('日本精神保健看護学会　会計報告書'!E10,"AAAAAHZ9/4Q=")</f>
        <v>#VALUE!</v>
      </c>
      <c r="ED2" t="e">
        <f>AND('日本精神保健看護学会　会計報告書'!F10,"AAAAAHZ9/4U=")</f>
        <v>#VALUE!</v>
      </c>
      <c r="EE2" t="e">
        <f>AND('日本精神保健看護学会　会計報告書'!G10,"AAAAAHZ9/4Y=")</f>
        <v>#VALUE!</v>
      </c>
      <c r="EF2" t="e">
        <f>AND('日本精神保健看護学会　会計報告書'!H10,"AAAAAHZ9/4c=")</f>
        <v>#VALUE!</v>
      </c>
      <c r="EG2" t="e">
        <f>AND('日本精神保健看護学会　会計報告書'!I10,"AAAAAHZ9/4g=")</f>
        <v>#VALUE!</v>
      </c>
      <c r="EH2" t="e">
        <f>AND('日本精神保健看護学会　会計報告書'!J10,"AAAAAHZ9/4k=")</f>
        <v>#VALUE!</v>
      </c>
      <c r="EI2" t="e">
        <f>AND('日本精神保健看護学会　会計報告書'!K10,"AAAAAHZ9/4o=")</f>
        <v>#VALUE!</v>
      </c>
      <c r="EJ2" t="e">
        <f>IF('日本精神保健看護学会　会計報告書'!#REF!,"AAAAAHZ9/4s=",0)</f>
        <v>#REF!</v>
      </c>
      <c r="EK2" t="e">
        <f>AND('日本精神保健看護学会　会計報告書'!#REF!,"AAAAAHZ9/4w=")</f>
        <v>#REF!</v>
      </c>
      <c r="EL2" t="e">
        <f>AND('日本精神保健看護学会　会計報告書'!#REF!,"AAAAAHZ9/40=")</f>
        <v>#REF!</v>
      </c>
      <c r="EM2" t="e">
        <f>AND('日本精神保健看護学会　会計報告書'!#REF!,"AAAAAHZ9/44=")</f>
        <v>#REF!</v>
      </c>
      <c r="EN2" t="e">
        <f>AND('日本精神保健看護学会　会計報告書'!#REF!,"AAAAAHZ9/48=")</f>
        <v>#REF!</v>
      </c>
      <c r="EO2" t="e">
        <f>AND('日本精神保健看護学会　会計報告書'!#REF!,"AAAAAHZ9/5A=")</f>
        <v>#REF!</v>
      </c>
      <c r="EP2" t="e">
        <f>AND('日本精神保健看護学会　会計報告書'!#REF!,"AAAAAHZ9/5E=")</f>
        <v>#REF!</v>
      </c>
      <c r="EQ2" t="e">
        <f>AND('日本精神保健看護学会　会計報告書'!#REF!,"AAAAAHZ9/5I=")</f>
        <v>#REF!</v>
      </c>
      <c r="ER2" t="e">
        <f>AND('日本精神保健看護学会　会計報告書'!#REF!,"AAAAAHZ9/5M=")</f>
        <v>#REF!</v>
      </c>
      <c r="ES2" t="e">
        <f>AND('日本精神保健看護学会　会計報告書'!#REF!,"AAAAAHZ9/5Q=")</f>
        <v>#REF!</v>
      </c>
      <c r="ET2" t="e">
        <f>AND('日本精神保健看護学会　会計報告書'!#REF!,"AAAAAHZ9/5U=")</f>
        <v>#REF!</v>
      </c>
      <c r="EU2" t="e">
        <f>IF('日本精神保健看護学会　会計報告書'!#REF!,"AAAAAHZ9/5Y=",0)</f>
        <v>#REF!</v>
      </c>
      <c r="EV2" t="e">
        <f>AND('日本精神保健看護学会　会計報告書'!#REF!,"AAAAAHZ9/5c=")</f>
        <v>#REF!</v>
      </c>
      <c r="EW2" t="e">
        <f>AND('日本精神保健看護学会　会計報告書'!#REF!,"AAAAAHZ9/5g=")</f>
        <v>#REF!</v>
      </c>
      <c r="EX2" t="e">
        <f>AND('日本精神保健看護学会　会計報告書'!#REF!,"AAAAAHZ9/5k=")</f>
        <v>#REF!</v>
      </c>
      <c r="EY2" t="e">
        <f>AND('日本精神保健看護学会　会計報告書'!#REF!,"AAAAAHZ9/5o=")</f>
        <v>#REF!</v>
      </c>
      <c r="EZ2" t="e">
        <f>AND('日本精神保健看護学会　会計報告書'!#REF!,"AAAAAHZ9/5s=")</f>
        <v>#REF!</v>
      </c>
      <c r="FA2" t="e">
        <f>AND('日本精神保健看護学会　会計報告書'!#REF!,"AAAAAHZ9/5w=")</f>
        <v>#REF!</v>
      </c>
      <c r="FB2" t="e">
        <f>AND('日本精神保健看護学会　会計報告書'!#REF!,"AAAAAHZ9/50=")</f>
        <v>#REF!</v>
      </c>
      <c r="FC2" t="e">
        <f>AND('日本精神保健看護学会　会計報告書'!#REF!,"AAAAAHZ9/54=")</f>
        <v>#REF!</v>
      </c>
      <c r="FD2" t="e">
        <f>AND('日本精神保健看護学会　会計報告書'!#REF!,"AAAAAHZ9/58=")</f>
        <v>#REF!</v>
      </c>
      <c r="FE2" t="e">
        <f>AND('日本精神保健看護学会　会計報告書'!#REF!,"AAAAAHZ9/6A=")</f>
        <v>#REF!</v>
      </c>
      <c r="FF2" t="e">
        <f>IF('日本精神保健看護学会　会計報告書'!#REF!,"AAAAAHZ9/6E=",0)</f>
        <v>#REF!</v>
      </c>
      <c r="FG2" t="e">
        <f>AND('日本精神保健看護学会　会計報告書'!#REF!,"AAAAAHZ9/6I=")</f>
        <v>#REF!</v>
      </c>
      <c r="FH2" t="e">
        <f>AND('日本精神保健看護学会　会計報告書'!#REF!,"AAAAAHZ9/6M=")</f>
        <v>#REF!</v>
      </c>
      <c r="FI2" t="e">
        <f>AND('日本精神保健看護学会　会計報告書'!#REF!,"AAAAAHZ9/6Q=")</f>
        <v>#REF!</v>
      </c>
      <c r="FJ2" t="e">
        <f>AND('日本精神保健看護学会　会計報告書'!#REF!,"AAAAAHZ9/6U=")</f>
        <v>#REF!</v>
      </c>
      <c r="FK2" t="e">
        <f>AND('日本精神保健看護学会　会計報告書'!#REF!,"AAAAAHZ9/6Y=")</f>
        <v>#REF!</v>
      </c>
      <c r="FL2" t="e">
        <f>AND('日本精神保健看護学会　会計報告書'!#REF!,"AAAAAHZ9/6c=")</f>
        <v>#REF!</v>
      </c>
      <c r="FM2" t="e">
        <f>AND('日本精神保健看護学会　会計報告書'!#REF!,"AAAAAHZ9/6g=")</f>
        <v>#REF!</v>
      </c>
      <c r="FN2" t="e">
        <f>AND('日本精神保健看護学会　会計報告書'!#REF!,"AAAAAHZ9/6k=")</f>
        <v>#REF!</v>
      </c>
      <c r="FO2" t="e">
        <f>AND('日本精神保健看護学会　会計報告書'!#REF!,"AAAAAHZ9/6o=")</f>
        <v>#REF!</v>
      </c>
      <c r="FP2" t="e">
        <f>AND('日本精神保健看護学会　会計報告書'!#REF!,"AAAAAHZ9/6s=")</f>
        <v>#REF!</v>
      </c>
      <c r="FQ2" t="e">
        <f>IF('日本精神保健看護学会　会計報告書'!#REF!,"AAAAAHZ9/6w=",0)</f>
        <v>#REF!</v>
      </c>
      <c r="FR2" t="e">
        <f>AND('日本精神保健看護学会　会計報告書'!#REF!,"AAAAAHZ9/60=")</f>
        <v>#REF!</v>
      </c>
      <c r="FS2" t="e">
        <f>AND('日本精神保健看護学会　会計報告書'!#REF!,"AAAAAHZ9/64=")</f>
        <v>#REF!</v>
      </c>
      <c r="FT2" t="e">
        <f>AND('日本精神保健看護学会　会計報告書'!#REF!,"AAAAAHZ9/68=")</f>
        <v>#REF!</v>
      </c>
      <c r="FU2" t="e">
        <f>AND('日本精神保健看護学会　会計報告書'!#REF!,"AAAAAHZ9/7A=")</f>
        <v>#REF!</v>
      </c>
      <c r="FV2" t="e">
        <f>AND('日本精神保健看護学会　会計報告書'!#REF!,"AAAAAHZ9/7E=")</f>
        <v>#REF!</v>
      </c>
      <c r="FW2" t="e">
        <f>AND('日本精神保健看護学会　会計報告書'!#REF!,"AAAAAHZ9/7I=")</f>
        <v>#REF!</v>
      </c>
      <c r="FX2" t="e">
        <f>AND('日本精神保健看護学会　会計報告書'!#REF!,"AAAAAHZ9/7M=")</f>
        <v>#REF!</v>
      </c>
      <c r="FY2" t="e">
        <f>AND('日本精神保健看護学会　会計報告書'!#REF!,"AAAAAHZ9/7Q=")</f>
        <v>#REF!</v>
      </c>
      <c r="FZ2" t="e">
        <f>AND('日本精神保健看護学会　会計報告書'!#REF!,"AAAAAHZ9/7U=")</f>
        <v>#REF!</v>
      </c>
      <c r="GA2" t="e">
        <f>AND('日本精神保健看護学会　会計報告書'!#REF!,"AAAAAHZ9/7Y=")</f>
        <v>#REF!</v>
      </c>
      <c r="GB2" t="e">
        <f>IF('日本精神保健看護学会　会計報告書'!#REF!,"AAAAAHZ9/7c=",0)</f>
        <v>#REF!</v>
      </c>
      <c r="GC2" t="e">
        <f>AND('日本精神保健看護学会　会計報告書'!#REF!,"AAAAAHZ9/7g=")</f>
        <v>#REF!</v>
      </c>
      <c r="GD2" t="e">
        <f>AND('日本精神保健看護学会　会計報告書'!#REF!,"AAAAAHZ9/7k=")</f>
        <v>#REF!</v>
      </c>
      <c r="GE2" t="e">
        <f>AND('日本精神保健看護学会　会計報告書'!#REF!,"AAAAAHZ9/7o=")</f>
        <v>#REF!</v>
      </c>
      <c r="GF2" t="e">
        <f>AND('日本精神保健看護学会　会計報告書'!#REF!,"AAAAAHZ9/7s=")</f>
        <v>#REF!</v>
      </c>
      <c r="GG2" t="e">
        <f>AND('日本精神保健看護学会　会計報告書'!#REF!,"AAAAAHZ9/7w=")</f>
        <v>#REF!</v>
      </c>
      <c r="GH2" t="e">
        <f>AND('日本精神保健看護学会　会計報告書'!#REF!,"AAAAAHZ9/70=")</f>
        <v>#REF!</v>
      </c>
      <c r="GI2" t="e">
        <f>AND('日本精神保健看護学会　会計報告書'!#REF!,"AAAAAHZ9/74=")</f>
        <v>#REF!</v>
      </c>
      <c r="GJ2" t="e">
        <f>AND('日本精神保健看護学会　会計報告書'!#REF!,"AAAAAHZ9/78=")</f>
        <v>#REF!</v>
      </c>
      <c r="GK2" t="e">
        <f>AND('日本精神保健看護学会　会計報告書'!#REF!,"AAAAAHZ9/8A=")</f>
        <v>#REF!</v>
      </c>
      <c r="GL2" t="e">
        <f>AND('日本精神保健看護学会　会計報告書'!#REF!,"AAAAAHZ9/8E=")</f>
        <v>#REF!</v>
      </c>
      <c r="GM2">
        <f>IF('日本精神保健看護学会　会計報告書'!11:11,"AAAAAHZ9/8I=",0)</f>
        <v>0</v>
      </c>
      <c r="GN2" t="e">
        <f>AND('日本精神保健看護学会　会計報告書'!A11,"AAAAAHZ9/8M=")</f>
        <v>#VALUE!</v>
      </c>
      <c r="GO2" t="e">
        <f>AND('日本精神保健看護学会　会計報告書'!B11,"AAAAAHZ9/8Q=")</f>
        <v>#VALUE!</v>
      </c>
      <c r="GP2" t="e">
        <f>AND('日本精神保健看護学会　会計報告書'!D11,"AAAAAHZ9/8U=")</f>
        <v>#VALUE!</v>
      </c>
      <c r="GQ2" t="e">
        <f>AND('日本精神保健看護学会　会計報告書'!E11,"AAAAAHZ9/8Y=")</f>
        <v>#VALUE!</v>
      </c>
      <c r="GR2" t="e">
        <f>AND('日本精神保健看護学会　会計報告書'!F11,"AAAAAHZ9/8c=")</f>
        <v>#VALUE!</v>
      </c>
      <c r="GS2" t="e">
        <f>AND('日本精神保健看護学会　会計報告書'!G11,"AAAAAHZ9/8g=")</f>
        <v>#VALUE!</v>
      </c>
      <c r="GT2" t="e">
        <f>AND('日本精神保健看護学会　会計報告書'!H11,"AAAAAHZ9/8k=")</f>
        <v>#VALUE!</v>
      </c>
      <c r="GU2" t="e">
        <f>AND('日本精神保健看護学会　会計報告書'!I11,"AAAAAHZ9/8o=")</f>
        <v>#VALUE!</v>
      </c>
      <c r="GV2" t="e">
        <f>AND('日本精神保健看護学会　会計報告書'!J11,"AAAAAHZ9/8s=")</f>
        <v>#VALUE!</v>
      </c>
      <c r="GW2" t="e">
        <f>AND('日本精神保健看護学会　会計報告書'!K11,"AAAAAHZ9/8w=")</f>
        <v>#VALUE!</v>
      </c>
      <c r="GX2">
        <f>IF('日本精神保健看護学会　会計報告書'!12:12,"AAAAAHZ9/80=",0)</f>
        <v>0</v>
      </c>
      <c r="GY2" t="e">
        <f>AND('日本精神保健看護学会　会計報告書'!A12,"AAAAAHZ9/84=")</f>
        <v>#VALUE!</v>
      </c>
      <c r="GZ2" t="e">
        <f>AND('日本精神保健看護学会　会計報告書'!B12,"AAAAAHZ9/88=")</f>
        <v>#VALUE!</v>
      </c>
      <c r="HA2" t="e">
        <f>AND('日本精神保健看護学会　会計報告書'!D12,"AAAAAHZ9/9A=")</f>
        <v>#VALUE!</v>
      </c>
      <c r="HB2" t="e">
        <f>AND('日本精神保健看護学会　会計報告書'!E12,"AAAAAHZ9/9E=")</f>
        <v>#VALUE!</v>
      </c>
      <c r="HC2" t="e">
        <f>AND('日本精神保健看護学会　会計報告書'!F12,"AAAAAHZ9/9I=")</f>
        <v>#VALUE!</v>
      </c>
      <c r="HD2" t="e">
        <f>AND('日本精神保健看護学会　会計報告書'!G12,"AAAAAHZ9/9M=")</f>
        <v>#VALUE!</v>
      </c>
      <c r="HE2" t="e">
        <f>AND('日本精神保健看護学会　会計報告書'!H12,"AAAAAHZ9/9Q=")</f>
        <v>#VALUE!</v>
      </c>
      <c r="HF2" t="e">
        <f>AND('日本精神保健看護学会　会計報告書'!I12,"AAAAAHZ9/9U=")</f>
        <v>#VALUE!</v>
      </c>
      <c r="HG2" t="e">
        <f>AND('日本精神保健看護学会　会計報告書'!J12,"AAAAAHZ9/9Y=")</f>
        <v>#VALUE!</v>
      </c>
      <c r="HH2" t="e">
        <f>AND('日本精神保健看護学会　会計報告書'!K12,"AAAAAHZ9/9c=")</f>
        <v>#VALUE!</v>
      </c>
      <c r="HI2">
        <f>IF('日本精神保健看護学会　会計報告書'!13:13,"AAAAAHZ9/9g=",0)</f>
        <v>0</v>
      </c>
      <c r="HJ2" t="e">
        <f>AND('日本精神保健看護学会　会計報告書'!A13,"AAAAAHZ9/9k=")</f>
        <v>#VALUE!</v>
      </c>
      <c r="HK2" t="e">
        <f>AND('日本精神保健看護学会　会計報告書'!B13,"AAAAAHZ9/9o=")</f>
        <v>#VALUE!</v>
      </c>
      <c r="HL2" t="e">
        <f>AND('日本精神保健看護学会　会計報告書'!D13,"AAAAAHZ9/9s=")</f>
        <v>#VALUE!</v>
      </c>
      <c r="HM2" t="e">
        <f>AND('日本精神保健看護学会　会計報告書'!E13,"AAAAAHZ9/9w=")</f>
        <v>#VALUE!</v>
      </c>
      <c r="HN2" t="e">
        <f>AND('日本精神保健看護学会　会計報告書'!F13,"AAAAAHZ9/90=")</f>
        <v>#VALUE!</v>
      </c>
      <c r="HO2" t="e">
        <f>AND('日本精神保健看護学会　会計報告書'!G13,"AAAAAHZ9/94=")</f>
        <v>#VALUE!</v>
      </c>
      <c r="HP2" t="e">
        <f>AND('日本精神保健看護学会　会計報告書'!H13,"AAAAAHZ9/98=")</f>
        <v>#VALUE!</v>
      </c>
      <c r="HQ2" t="e">
        <f>AND('日本精神保健看護学会　会計報告書'!I13,"AAAAAHZ9/+A=")</f>
        <v>#VALUE!</v>
      </c>
      <c r="HR2" t="e">
        <f>AND('日本精神保健看護学会　会計報告書'!J13,"AAAAAHZ9/+E=")</f>
        <v>#VALUE!</v>
      </c>
      <c r="HS2" t="e">
        <f>AND('日本精神保健看護学会　会計報告書'!K13,"AAAAAHZ9/+I=")</f>
        <v>#VALUE!</v>
      </c>
      <c r="HT2" t="e">
        <f>IF('日本精神保健看護学会　会計報告書'!#REF!,"AAAAAHZ9/+M=",0)</f>
        <v>#REF!</v>
      </c>
      <c r="HU2" t="e">
        <f>AND('日本精神保健看護学会　会計報告書'!#REF!,"AAAAAHZ9/+Q=")</f>
        <v>#REF!</v>
      </c>
      <c r="HV2" t="e">
        <f>AND('日本精神保健看護学会　会計報告書'!#REF!,"AAAAAHZ9/+U=")</f>
        <v>#REF!</v>
      </c>
      <c r="HW2" t="e">
        <f>AND('日本精神保健看護学会　会計報告書'!#REF!,"AAAAAHZ9/+Y=")</f>
        <v>#REF!</v>
      </c>
      <c r="HX2" t="e">
        <f>AND('日本精神保健看護学会　会計報告書'!#REF!,"AAAAAHZ9/+c=")</f>
        <v>#REF!</v>
      </c>
      <c r="HY2" t="e">
        <f>AND('日本精神保健看護学会　会計報告書'!#REF!,"AAAAAHZ9/+g=")</f>
        <v>#REF!</v>
      </c>
      <c r="HZ2" t="e">
        <f>AND('日本精神保健看護学会　会計報告書'!#REF!,"AAAAAHZ9/+k=")</f>
        <v>#REF!</v>
      </c>
      <c r="IA2" t="e">
        <f>AND('日本精神保健看護学会　会計報告書'!#REF!,"AAAAAHZ9/+o=")</f>
        <v>#REF!</v>
      </c>
      <c r="IB2" t="e">
        <f>AND('日本精神保健看護学会　会計報告書'!#REF!,"AAAAAHZ9/+s=")</f>
        <v>#REF!</v>
      </c>
      <c r="IC2" t="e">
        <f>AND('日本精神保健看護学会　会計報告書'!#REF!,"AAAAAHZ9/+w=")</f>
        <v>#REF!</v>
      </c>
      <c r="ID2" t="e">
        <f>AND('日本精神保健看護学会　会計報告書'!#REF!,"AAAAAHZ9/+0=")</f>
        <v>#REF!</v>
      </c>
      <c r="IE2" t="e">
        <f>IF('日本精神保健看護学会　会計報告書'!#REF!,"AAAAAHZ9/+4=",0)</f>
        <v>#REF!</v>
      </c>
      <c r="IF2" t="e">
        <f>AND('日本精神保健看護学会　会計報告書'!#REF!,"AAAAAHZ9/+8=")</f>
        <v>#REF!</v>
      </c>
      <c r="IG2" t="e">
        <f>AND('日本精神保健看護学会　会計報告書'!#REF!,"AAAAAHZ9//A=")</f>
        <v>#REF!</v>
      </c>
      <c r="IH2" t="e">
        <f>AND('日本精神保健看護学会　会計報告書'!#REF!,"AAAAAHZ9//E=")</f>
        <v>#REF!</v>
      </c>
      <c r="II2" t="e">
        <f>AND('日本精神保健看護学会　会計報告書'!#REF!,"AAAAAHZ9//I=")</f>
        <v>#REF!</v>
      </c>
      <c r="IJ2" t="e">
        <f>AND('日本精神保健看護学会　会計報告書'!#REF!,"AAAAAHZ9//M=")</f>
        <v>#REF!</v>
      </c>
      <c r="IK2" t="e">
        <f>AND('日本精神保健看護学会　会計報告書'!#REF!,"AAAAAHZ9//Q=")</f>
        <v>#REF!</v>
      </c>
      <c r="IL2" t="e">
        <f>AND('日本精神保健看護学会　会計報告書'!#REF!,"AAAAAHZ9//U=")</f>
        <v>#REF!</v>
      </c>
      <c r="IM2" t="e">
        <f>AND('日本精神保健看護学会　会計報告書'!#REF!,"AAAAAHZ9//Y=")</f>
        <v>#REF!</v>
      </c>
      <c r="IN2" t="e">
        <f>AND('日本精神保健看護学会　会計報告書'!#REF!,"AAAAAHZ9//c=")</f>
        <v>#REF!</v>
      </c>
      <c r="IO2" t="e">
        <f>AND('日本精神保健看護学会　会計報告書'!#REF!,"AAAAAHZ9//g=")</f>
        <v>#REF!</v>
      </c>
      <c r="IP2" t="e">
        <f>IF('日本精神保健看護学会　会計報告書'!#REF!,"AAAAAHZ9//k=",0)</f>
        <v>#REF!</v>
      </c>
      <c r="IQ2" t="e">
        <f>AND('日本精神保健看護学会　会計報告書'!#REF!,"AAAAAHZ9//o=")</f>
        <v>#REF!</v>
      </c>
      <c r="IR2" t="e">
        <f>AND('日本精神保健看護学会　会計報告書'!#REF!,"AAAAAHZ9//s=")</f>
        <v>#REF!</v>
      </c>
      <c r="IS2" t="e">
        <f>AND('日本精神保健看護学会　会計報告書'!#REF!,"AAAAAHZ9//w=")</f>
        <v>#REF!</v>
      </c>
      <c r="IT2" t="e">
        <f>AND('日本精神保健看護学会　会計報告書'!#REF!,"AAAAAHZ9//0=")</f>
        <v>#REF!</v>
      </c>
      <c r="IU2" t="e">
        <f>AND('日本精神保健看護学会　会計報告書'!#REF!,"AAAAAHZ9//4=")</f>
        <v>#REF!</v>
      </c>
      <c r="IV2" t="e">
        <f>AND('日本精神保健看護学会　会計報告書'!#REF!,"AAAAAHZ9//8=")</f>
        <v>#REF!</v>
      </c>
    </row>
    <row r="3" spans="1:256">
      <c r="A3" t="e">
        <f>AND('日本精神保健看護学会　会計報告書'!#REF!,"AAAAAGes8wA=")</f>
        <v>#REF!</v>
      </c>
      <c r="B3" t="e">
        <f>AND('日本精神保健看護学会　会計報告書'!#REF!,"AAAAAGes8wE=")</f>
        <v>#REF!</v>
      </c>
      <c r="C3" t="e">
        <f>AND('日本精神保健看護学会　会計報告書'!#REF!,"AAAAAGes8wI=")</f>
        <v>#REF!</v>
      </c>
      <c r="D3" t="e">
        <f>AND('日本精神保健看護学会　会計報告書'!#REF!,"AAAAAGes8wM=")</f>
        <v>#REF!</v>
      </c>
      <c r="E3" t="e">
        <f>IF('日本精神保健看護学会　会計報告書'!#REF!,"AAAAAGes8wQ=",0)</f>
        <v>#REF!</v>
      </c>
      <c r="F3" t="e">
        <f>AND('日本精神保健看護学会　会計報告書'!#REF!,"AAAAAGes8wU=")</f>
        <v>#REF!</v>
      </c>
      <c r="G3" t="e">
        <f>AND('日本精神保健看護学会　会計報告書'!#REF!,"AAAAAGes8wY=")</f>
        <v>#REF!</v>
      </c>
      <c r="H3" t="e">
        <f>AND('日本精神保健看護学会　会計報告書'!#REF!,"AAAAAGes8wc=")</f>
        <v>#REF!</v>
      </c>
      <c r="I3" t="e">
        <f>AND('日本精神保健看護学会　会計報告書'!#REF!,"AAAAAGes8wg=")</f>
        <v>#REF!</v>
      </c>
      <c r="J3" t="e">
        <f>AND('日本精神保健看護学会　会計報告書'!#REF!,"AAAAAGes8wk=")</f>
        <v>#REF!</v>
      </c>
      <c r="K3" t="e">
        <f>AND('日本精神保健看護学会　会計報告書'!#REF!,"AAAAAGes8wo=")</f>
        <v>#REF!</v>
      </c>
      <c r="L3" t="e">
        <f>AND('日本精神保健看護学会　会計報告書'!#REF!,"AAAAAGes8ws=")</f>
        <v>#REF!</v>
      </c>
      <c r="M3" t="e">
        <f>AND('日本精神保健看護学会　会計報告書'!#REF!,"AAAAAGes8ww=")</f>
        <v>#REF!</v>
      </c>
      <c r="N3" t="e">
        <f>AND('日本精神保健看護学会　会計報告書'!#REF!,"AAAAAGes8w0=")</f>
        <v>#REF!</v>
      </c>
      <c r="O3" t="e">
        <f>AND('日本精神保健看護学会　会計報告書'!#REF!,"AAAAAGes8w4=")</f>
        <v>#REF!</v>
      </c>
      <c r="P3" t="e">
        <f>IF('日本精神保健看護学会　会計報告書'!#REF!,"AAAAAGes8w8=",0)</f>
        <v>#REF!</v>
      </c>
      <c r="Q3" t="e">
        <f>AND('日本精神保健看護学会　会計報告書'!#REF!,"AAAAAGes8xA=")</f>
        <v>#REF!</v>
      </c>
      <c r="R3" t="e">
        <f>AND('日本精神保健看護学会　会計報告書'!#REF!,"AAAAAGes8xE=")</f>
        <v>#REF!</v>
      </c>
      <c r="S3" t="e">
        <f>AND('日本精神保健看護学会　会計報告書'!#REF!,"AAAAAGes8xI=")</f>
        <v>#REF!</v>
      </c>
      <c r="T3" t="e">
        <f>AND('日本精神保健看護学会　会計報告書'!#REF!,"AAAAAGes8xM=")</f>
        <v>#REF!</v>
      </c>
      <c r="U3" t="e">
        <f>AND('日本精神保健看護学会　会計報告書'!#REF!,"AAAAAGes8xQ=")</f>
        <v>#REF!</v>
      </c>
      <c r="V3" t="e">
        <f>AND('日本精神保健看護学会　会計報告書'!#REF!,"AAAAAGes8xU=")</f>
        <v>#REF!</v>
      </c>
      <c r="W3" t="e">
        <f>AND('日本精神保健看護学会　会計報告書'!#REF!,"AAAAAGes8xY=")</f>
        <v>#REF!</v>
      </c>
      <c r="X3" t="e">
        <f>AND('日本精神保健看護学会　会計報告書'!#REF!,"AAAAAGes8xc=")</f>
        <v>#REF!</v>
      </c>
      <c r="Y3" t="e">
        <f>AND('日本精神保健看護学会　会計報告書'!#REF!,"AAAAAGes8xg=")</f>
        <v>#REF!</v>
      </c>
      <c r="Z3" t="e">
        <f>AND('日本精神保健看護学会　会計報告書'!#REF!,"AAAAAGes8xk=")</f>
        <v>#REF!</v>
      </c>
      <c r="AA3" t="e">
        <f>IF('日本精神保健看護学会　会計報告書'!#REF!,"AAAAAGes8xo=",0)</f>
        <v>#REF!</v>
      </c>
      <c r="AB3" t="e">
        <f>AND('日本精神保健看護学会　会計報告書'!#REF!,"AAAAAGes8xs=")</f>
        <v>#REF!</v>
      </c>
      <c r="AC3" t="e">
        <f>AND('日本精神保健看護学会　会計報告書'!#REF!,"AAAAAGes8xw=")</f>
        <v>#REF!</v>
      </c>
      <c r="AD3" t="e">
        <f>AND('日本精神保健看護学会　会計報告書'!#REF!,"AAAAAGes8x0=")</f>
        <v>#REF!</v>
      </c>
      <c r="AE3" t="e">
        <f>AND('日本精神保健看護学会　会計報告書'!#REF!,"AAAAAGes8x4=")</f>
        <v>#REF!</v>
      </c>
      <c r="AF3" t="e">
        <f>AND('日本精神保健看護学会　会計報告書'!#REF!,"AAAAAGes8x8=")</f>
        <v>#REF!</v>
      </c>
      <c r="AG3" t="e">
        <f>AND('日本精神保健看護学会　会計報告書'!#REF!,"AAAAAGes8yA=")</f>
        <v>#REF!</v>
      </c>
      <c r="AH3" t="e">
        <f>AND('日本精神保健看護学会　会計報告書'!#REF!,"AAAAAGes8yE=")</f>
        <v>#REF!</v>
      </c>
      <c r="AI3" t="e">
        <f>AND('日本精神保健看護学会　会計報告書'!#REF!,"AAAAAGes8yI=")</f>
        <v>#REF!</v>
      </c>
      <c r="AJ3" t="e">
        <f>AND('日本精神保健看護学会　会計報告書'!#REF!,"AAAAAGes8yM=")</f>
        <v>#REF!</v>
      </c>
      <c r="AK3" t="e">
        <f>AND('日本精神保健看護学会　会計報告書'!#REF!,"AAAAAGes8yQ=")</f>
        <v>#REF!</v>
      </c>
      <c r="AL3" t="e">
        <f>IF('日本精神保健看護学会　会計報告書'!#REF!,"AAAAAGes8yU=",0)</f>
        <v>#REF!</v>
      </c>
      <c r="AM3" t="e">
        <f>AND('日本精神保健看護学会　会計報告書'!#REF!,"AAAAAGes8yY=")</f>
        <v>#REF!</v>
      </c>
      <c r="AN3" t="e">
        <f>AND('日本精神保健看護学会　会計報告書'!#REF!,"AAAAAGes8yc=")</f>
        <v>#REF!</v>
      </c>
      <c r="AO3" t="e">
        <f>AND('日本精神保健看護学会　会計報告書'!#REF!,"AAAAAGes8yg=")</f>
        <v>#REF!</v>
      </c>
      <c r="AP3" t="e">
        <f>AND('日本精神保健看護学会　会計報告書'!#REF!,"AAAAAGes8yk=")</f>
        <v>#REF!</v>
      </c>
      <c r="AQ3" t="e">
        <f>AND('日本精神保健看護学会　会計報告書'!#REF!,"AAAAAGes8yo=")</f>
        <v>#REF!</v>
      </c>
      <c r="AR3" t="e">
        <f>AND('日本精神保健看護学会　会計報告書'!#REF!,"AAAAAGes8ys=")</f>
        <v>#REF!</v>
      </c>
      <c r="AS3" t="e">
        <f>AND('日本精神保健看護学会　会計報告書'!#REF!,"AAAAAGes8yw=")</f>
        <v>#REF!</v>
      </c>
      <c r="AT3" t="e">
        <f>AND('日本精神保健看護学会　会計報告書'!#REF!,"AAAAAGes8y0=")</f>
        <v>#REF!</v>
      </c>
      <c r="AU3" t="e">
        <f>AND('日本精神保健看護学会　会計報告書'!#REF!,"AAAAAGes8y4=")</f>
        <v>#REF!</v>
      </c>
      <c r="AV3" t="e">
        <f>AND('日本精神保健看護学会　会計報告書'!#REF!,"AAAAAGes8y8=")</f>
        <v>#REF!</v>
      </c>
      <c r="AW3" t="e">
        <f>IF('日本精神保健看護学会　会計報告書'!#REF!,"AAAAAGes8zA=",0)</f>
        <v>#REF!</v>
      </c>
      <c r="AX3" t="e">
        <f>AND('日本精神保健看護学会　会計報告書'!#REF!,"AAAAAGes8zE=")</f>
        <v>#REF!</v>
      </c>
      <c r="AY3" t="e">
        <f>AND('日本精神保健看護学会　会計報告書'!#REF!,"AAAAAGes8zI=")</f>
        <v>#REF!</v>
      </c>
      <c r="AZ3" t="e">
        <f>AND('日本精神保健看護学会　会計報告書'!#REF!,"AAAAAGes8zM=")</f>
        <v>#REF!</v>
      </c>
      <c r="BA3" t="e">
        <f>AND('日本精神保健看護学会　会計報告書'!#REF!,"AAAAAGes8zQ=")</f>
        <v>#REF!</v>
      </c>
      <c r="BB3" t="e">
        <f>AND('日本精神保健看護学会　会計報告書'!#REF!,"AAAAAGes8zU=")</f>
        <v>#REF!</v>
      </c>
      <c r="BC3" t="e">
        <f>AND('日本精神保健看護学会　会計報告書'!#REF!,"AAAAAGes8zY=")</f>
        <v>#REF!</v>
      </c>
      <c r="BD3" t="e">
        <f>AND('日本精神保健看護学会　会計報告書'!#REF!,"AAAAAGes8zc=")</f>
        <v>#REF!</v>
      </c>
      <c r="BE3" t="e">
        <f>AND('日本精神保健看護学会　会計報告書'!#REF!,"AAAAAGes8zg=")</f>
        <v>#REF!</v>
      </c>
      <c r="BF3" t="e">
        <f>AND('日本精神保健看護学会　会計報告書'!#REF!,"AAAAAGes8zk=")</f>
        <v>#REF!</v>
      </c>
      <c r="BG3" t="e">
        <f>AND('日本精神保健看護学会　会計報告書'!#REF!,"AAAAAGes8zo=")</f>
        <v>#REF!</v>
      </c>
      <c r="BH3" t="e">
        <f>IF('日本精神保健看護学会　会計報告書'!#REF!,"AAAAAGes8zs=",0)</f>
        <v>#REF!</v>
      </c>
      <c r="BI3" t="e">
        <f>AND('日本精神保健看護学会　会計報告書'!#REF!,"AAAAAGes8zw=")</f>
        <v>#REF!</v>
      </c>
      <c r="BJ3" t="e">
        <f>AND('日本精神保健看護学会　会計報告書'!#REF!,"AAAAAGes8z0=")</f>
        <v>#REF!</v>
      </c>
      <c r="BK3" t="e">
        <f>AND('日本精神保健看護学会　会計報告書'!#REF!,"AAAAAGes8z4=")</f>
        <v>#REF!</v>
      </c>
      <c r="BL3" t="e">
        <f>AND('日本精神保健看護学会　会計報告書'!#REF!,"AAAAAGes8z8=")</f>
        <v>#REF!</v>
      </c>
      <c r="BM3" t="e">
        <f>AND('日本精神保健看護学会　会計報告書'!#REF!,"AAAAAGes80A=")</f>
        <v>#REF!</v>
      </c>
      <c r="BN3" t="e">
        <f>AND('日本精神保健看護学会　会計報告書'!#REF!,"AAAAAGes80E=")</f>
        <v>#REF!</v>
      </c>
      <c r="BO3" t="e">
        <f>AND('日本精神保健看護学会　会計報告書'!#REF!,"AAAAAGes80I=")</f>
        <v>#REF!</v>
      </c>
      <c r="BP3" t="e">
        <f>AND('日本精神保健看護学会　会計報告書'!#REF!,"AAAAAGes80M=")</f>
        <v>#REF!</v>
      </c>
      <c r="BQ3" t="e">
        <f>AND('日本精神保健看護学会　会計報告書'!#REF!,"AAAAAGes80Q=")</f>
        <v>#REF!</v>
      </c>
      <c r="BR3" t="e">
        <f>AND('日本精神保健看護学会　会計報告書'!#REF!,"AAAAAGes80U=")</f>
        <v>#REF!</v>
      </c>
      <c r="BS3" t="e">
        <f>IF('日本精神保健看護学会　会計報告書'!#REF!,"AAAAAGes80Y=",0)</f>
        <v>#REF!</v>
      </c>
      <c r="BT3" t="e">
        <f>AND('日本精神保健看護学会　会計報告書'!#REF!,"AAAAAGes80c=")</f>
        <v>#REF!</v>
      </c>
      <c r="BU3" t="e">
        <f>AND('日本精神保健看護学会　会計報告書'!#REF!,"AAAAAGes80g=")</f>
        <v>#REF!</v>
      </c>
      <c r="BV3" t="e">
        <f>AND('日本精神保健看護学会　会計報告書'!#REF!,"AAAAAGes80k=")</f>
        <v>#REF!</v>
      </c>
      <c r="BW3" t="e">
        <f>AND('日本精神保健看護学会　会計報告書'!#REF!,"AAAAAGes80o=")</f>
        <v>#REF!</v>
      </c>
      <c r="BX3" t="e">
        <f>AND('日本精神保健看護学会　会計報告書'!#REF!,"AAAAAGes80s=")</f>
        <v>#REF!</v>
      </c>
      <c r="BY3" t="e">
        <f>AND('日本精神保健看護学会　会計報告書'!#REF!,"AAAAAGes80w=")</f>
        <v>#REF!</v>
      </c>
      <c r="BZ3" t="e">
        <f>AND('日本精神保健看護学会　会計報告書'!#REF!,"AAAAAGes800=")</f>
        <v>#REF!</v>
      </c>
      <c r="CA3" t="e">
        <f>AND('日本精神保健看護学会　会計報告書'!#REF!,"AAAAAGes804=")</f>
        <v>#REF!</v>
      </c>
      <c r="CB3" t="e">
        <f>AND('日本精神保健看護学会　会計報告書'!#REF!,"AAAAAGes808=")</f>
        <v>#REF!</v>
      </c>
      <c r="CC3" t="e">
        <f>AND('日本精神保健看護学会　会計報告書'!#REF!,"AAAAAGes81A=")</f>
        <v>#REF!</v>
      </c>
      <c r="CD3" t="e">
        <f>IF('日本精神保健看護学会　会計報告書'!#REF!,"AAAAAGes81E=",0)</f>
        <v>#REF!</v>
      </c>
      <c r="CE3" t="e">
        <f>AND('日本精神保健看護学会　会計報告書'!#REF!,"AAAAAGes81I=")</f>
        <v>#REF!</v>
      </c>
      <c r="CF3" t="e">
        <f>AND('日本精神保健看護学会　会計報告書'!#REF!,"AAAAAGes81M=")</f>
        <v>#REF!</v>
      </c>
      <c r="CG3" t="e">
        <f>AND('日本精神保健看護学会　会計報告書'!#REF!,"AAAAAGes81Q=")</f>
        <v>#REF!</v>
      </c>
      <c r="CH3" t="e">
        <f>AND('日本精神保健看護学会　会計報告書'!#REF!,"AAAAAGes81U=")</f>
        <v>#REF!</v>
      </c>
      <c r="CI3" t="e">
        <f>AND('日本精神保健看護学会　会計報告書'!#REF!,"AAAAAGes81Y=")</f>
        <v>#REF!</v>
      </c>
      <c r="CJ3" t="e">
        <f>AND('日本精神保健看護学会　会計報告書'!#REF!,"AAAAAGes81c=")</f>
        <v>#REF!</v>
      </c>
      <c r="CK3" t="e">
        <f>AND('日本精神保健看護学会　会計報告書'!#REF!,"AAAAAGes81g=")</f>
        <v>#REF!</v>
      </c>
      <c r="CL3" t="e">
        <f>AND('日本精神保健看護学会　会計報告書'!#REF!,"AAAAAGes81k=")</f>
        <v>#REF!</v>
      </c>
      <c r="CM3" t="e">
        <f>AND('日本精神保健看護学会　会計報告書'!#REF!,"AAAAAGes81o=")</f>
        <v>#REF!</v>
      </c>
      <c r="CN3" t="e">
        <f>AND('日本精神保健看護学会　会計報告書'!#REF!,"AAAAAGes81s=")</f>
        <v>#REF!</v>
      </c>
      <c r="CO3" t="e">
        <f>IF('日本精神保健看護学会　会計報告書'!#REF!,"AAAAAGes81w=",0)</f>
        <v>#REF!</v>
      </c>
      <c r="CP3" t="e">
        <f>AND('日本精神保健看護学会　会計報告書'!#REF!,"AAAAAGes810=")</f>
        <v>#REF!</v>
      </c>
      <c r="CQ3" t="e">
        <f>AND('日本精神保健看護学会　会計報告書'!#REF!,"AAAAAGes814=")</f>
        <v>#REF!</v>
      </c>
      <c r="CR3" t="e">
        <f>AND('日本精神保健看護学会　会計報告書'!#REF!,"AAAAAGes818=")</f>
        <v>#REF!</v>
      </c>
      <c r="CS3" t="e">
        <f>AND('日本精神保健看護学会　会計報告書'!#REF!,"AAAAAGes82A=")</f>
        <v>#REF!</v>
      </c>
      <c r="CT3" t="e">
        <f>AND('日本精神保健看護学会　会計報告書'!#REF!,"AAAAAGes82E=")</f>
        <v>#REF!</v>
      </c>
      <c r="CU3" t="e">
        <f>AND('日本精神保健看護学会　会計報告書'!#REF!,"AAAAAGes82I=")</f>
        <v>#REF!</v>
      </c>
      <c r="CV3" t="e">
        <f>AND('日本精神保健看護学会　会計報告書'!#REF!,"AAAAAGes82M=")</f>
        <v>#REF!</v>
      </c>
      <c r="CW3" t="e">
        <f>AND('日本精神保健看護学会　会計報告書'!#REF!,"AAAAAGes82Q=")</f>
        <v>#REF!</v>
      </c>
      <c r="CX3" t="e">
        <f>AND('日本精神保健看護学会　会計報告書'!#REF!,"AAAAAGes82U=")</f>
        <v>#REF!</v>
      </c>
      <c r="CY3" t="e">
        <f>AND('日本精神保健看護学会　会計報告書'!#REF!,"AAAAAGes82Y=")</f>
        <v>#REF!</v>
      </c>
      <c r="CZ3" t="e">
        <f>IF('日本精神保健看護学会　会計報告書'!#REF!,"AAAAAGes82c=",0)</f>
        <v>#REF!</v>
      </c>
      <c r="DA3" t="e">
        <f>AND('日本精神保健看護学会　会計報告書'!#REF!,"AAAAAGes82g=")</f>
        <v>#REF!</v>
      </c>
      <c r="DB3" t="e">
        <f>AND('日本精神保健看護学会　会計報告書'!#REF!,"AAAAAGes82k=")</f>
        <v>#REF!</v>
      </c>
      <c r="DC3" t="e">
        <f>AND('日本精神保健看護学会　会計報告書'!#REF!,"AAAAAGes82o=")</f>
        <v>#REF!</v>
      </c>
      <c r="DD3" t="e">
        <f>AND('日本精神保健看護学会　会計報告書'!#REF!,"AAAAAGes82s=")</f>
        <v>#REF!</v>
      </c>
      <c r="DE3" t="e">
        <f>AND('日本精神保健看護学会　会計報告書'!#REF!,"AAAAAGes82w=")</f>
        <v>#REF!</v>
      </c>
      <c r="DF3" t="e">
        <f>AND('日本精神保健看護学会　会計報告書'!#REF!,"AAAAAGes820=")</f>
        <v>#REF!</v>
      </c>
      <c r="DG3" t="e">
        <f>AND('日本精神保健看護学会　会計報告書'!#REF!,"AAAAAGes824=")</f>
        <v>#REF!</v>
      </c>
      <c r="DH3" t="e">
        <f>AND('日本精神保健看護学会　会計報告書'!#REF!,"AAAAAGes828=")</f>
        <v>#REF!</v>
      </c>
      <c r="DI3" t="e">
        <f>AND('日本精神保健看護学会　会計報告書'!#REF!,"AAAAAGes83A=")</f>
        <v>#REF!</v>
      </c>
      <c r="DJ3" t="e">
        <f>AND('日本精神保健看護学会　会計報告書'!#REF!,"AAAAAGes83E=")</f>
        <v>#REF!</v>
      </c>
      <c r="DK3" t="e">
        <f>IF('日本精神保健看護学会　会計報告書'!#REF!,"AAAAAGes83I=",0)</f>
        <v>#REF!</v>
      </c>
      <c r="DL3" t="e">
        <f>AND('日本精神保健看護学会　会計報告書'!#REF!,"AAAAAGes83M=")</f>
        <v>#REF!</v>
      </c>
      <c r="DM3" t="e">
        <f>AND('日本精神保健看護学会　会計報告書'!#REF!,"AAAAAGes83Q=")</f>
        <v>#REF!</v>
      </c>
      <c r="DN3" t="e">
        <f>AND('日本精神保健看護学会　会計報告書'!#REF!,"AAAAAGes83U=")</f>
        <v>#REF!</v>
      </c>
      <c r="DO3" t="e">
        <f>AND('日本精神保健看護学会　会計報告書'!#REF!,"AAAAAGes83Y=")</f>
        <v>#REF!</v>
      </c>
      <c r="DP3" t="e">
        <f>AND('日本精神保健看護学会　会計報告書'!#REF!,"AAAAAGes83c=")</f>
        <v>#REF!</v>
      </c>
      <c r="DQ3" t="e">
        <f>AND('日本精神保健看護学会　会計報告書'!#REF!,"AAAAAGes83g=")</f>
        <v>#REF!</v>
      </c>
      <c r="DR3" t="e">
        <f>AND('日本精神保健看護学会　会計報告書'!#REF!,"AAAAAGes83k=")</f>
        <v>#REF!</v>
      </c>
      <c r="DS3" t="e">
        <f>AND('日本精神保健看護学会　会計報告書'!#REF!,"AAAAAGes83o=")</f>
        <v>#REF!</v>
      </c>
      <c r="DT3" t="e">
        <f>AND('日本精神保健看護学会　会計報告書'!#REF!,"AAAAAGes83s=")</f>
        <v>#REF!</v>
      </c>
      <c r="DU3" t="e">
        <f>AND('日本精神保健看護学会　会計報告書'!#REF!,"AAAAAGes83w=")</f>
        <v>#REF!</v>
      </c>
      <c r="DV3" t="e">
        <f>IF('日本精神保健看護学会　会計報告書'!#REF!,"AAAAAGes830=",0)</f>
        <v>#REF!</v>
      </c>
      <c r="DW3" t="e">
        <f>AND('日本精神保健看護学会　会計報告書'!#REF!,"AAAAAGes834=")</f>
        <v>#REF!</v>
      </c>
      <c r="DX3" t="e">
        <f>AND('日本精神保健看護学会　会計報告書'!#REF!,"AAAAAGes838=")</f>
        <v>#REF!</v>
      </c>
      <c r="DY3" t="e">
        <f>AND('日本精神保健看護学会　会計報告書'!#REF!,"AAAAAGes84A=")</f>
        <v>#REF!</v>
      </c>
      <c r="DZ3" t="e">
        <f>AND('日本精神保健看護学会　会計報告書'!#REF!,"AAAAAGes84E=")</f>
        <v>#REF!</v>
      </c>
      <c r="EA3" t="e">
        <f>AND('日本精神保健看護学会　会計報告書'!#REF!,"AAAAAGes84I=")</f>
        <v>#REF!</v>
      </c>
      <c r="EB3" t="e">
        <f>AND('日本精神保健看護学会　会計報告書'!#REF!,"AAAAAGes84M=")</f>
        <v>#REF!</v>
      </c>
      <c r="EC3" t="e">
        <f>AND('日本精神保健看護学会　会計報告書'!#REF!,"AAAAAGes84Q=")</f>
        <v>#REF!</v>
      </c>
      <c r="ED3" t="e">
        <f>AND('日本精神保健看護学会　会計報告書'!#REF!,"AAAAAGes84U=")</f>
        <v>#REF!</v>
      </c>
      <c r="EE3" t="e">
        <f>AND('日本精神保健看護学会　会計報告書'!#REF!,"AAAAAGes84Y=")</f>
        <v>#REF!</v>
      </c>
      <c r="EF3" t="e">
        <f>AND('日本精神保健看護学会　会計報告書'!#REF!,"AAAAAGes84c=")</f>
        <v>#REF!</v>
      </c>
      <c r="EG3" t="e">
        <f>IF('日本精神保健看護学会　会計報告書'!#REF!,"AAAAAGes84g=",0)</f>
        <v>#REF!</v>
      </c>
      <c r="EH3" t="e">
        <f>AND('日本精神保健看護学会　会計報告書'!#REF!,"AAAAAGes84k=")</f>
        <v>#REF!</v>
      </c>
      <c r="EI3" t="e">
        <f>AND('日本精神保健看護学会　会計報告書'!#REF!,"AAAAAGes84o=")</f>
        <v>#REF!</v>
      </c>
      <c r="EJ3" t="e">
        <f>AND('日本精神保健看護学会　会計報告書'!#REF!,"AAAAAGes84s=")</f>
        <v>#REF!</v>
      </c>
      <c r="EK3" t="e">
        <f>AND('日本精神保健看護学会　会計報告書'!#REF!,"AAAAAGes84w=")</f>
        <v>#REF!</v>
      </c>
      <c r="EL3" t="e">
        <f>AND('日本精神保健看護学会　会計報告書'!#REF!,"AAAAAGes840=")</f>
        <v>#REF!</v>
      </c>
      <c r="EM3" t="e">
        <f>AND('日本精神保健看護学会　会計報告書'!#REF!,"AAAAAGes844=")</f>
        <v>#REF!</v>
      </c>
      <c r="EN3" t="e">
        <f>AND('日本精神保健看護学会　会計報告書'!#REF!,"AAAAAGes848=")</f>
        <v>#REF!</v>
      </c>
      <c r="EO3" t="e">
        <f>AND('日本精神保健看護学会　会計報告書'!#REF!,"AAAAAGes85A=")</f>
        <v>#REF!</v>
      </c>
      <c r="EP3" t="e">
        <f>AND('日本精神保健看護学会　会計報告書'!#REF!,"AAAAAGes85E=")</f>
        <v>#REF!</v>
      </c>
      <c r="EQ3" t="e">
        <f>AND('日本精神保健看護学会　会計報告書'!#REF!,"AAAAAGes85I=")</f>
        <v>#REF!</v>
      </c>
      <c r="ER3" t="e">
        <f>IF('日本精神保健看護学会　会計報告書'!#REF!,"AAAAAGes85M=",0)</f>
        <v>#REF!</v>
      </c>
      <c r="ES3" t="e">
        <f>AND('日本精神保健看護学会　会計報告書'!#REF!,"AAAAAGes85Q=")</f>
        <v>#REF!</v>
      </c>
      <c r="ET3" t="e">
        <f>AND('日本精神保健看護学会　会計報告書'!#REF!,"AAAAAGes85U=")</f>
        <v>#REF!</v>
      </c>
      <c r="EU3" t="e">
        <f>AND('日本精神保健看護学会　会計報告書'!#REF!,"AAAAAGes85Y=")</f>
        <v>#REF!</v>
      </c>
      <c r="EV3" t="e">
        <f>AND('日本精神保健看護学会　会計報告書'!#REF!,"AAAAAGes85c=")</f>
        <v>#REF!</v>
      </c>
      <c r="EW3" t="e">
        <f>AND('日本精神保健看護学会　会計報告書'!#REF!,"AAAAAGes85g=")</f>
        <v>#REF!</v>
      </c>
      <c r="EX3" t="e">
        <f>AND('日本精神保健看護学会　会計報告書'!#REF!,"AAAAAGes85k=")</f>
        <v>#REF!</v>
      </c>
      <c r="EY3" t="e">
        <f>AND('日本精神保健看護学会　会計報告書'!#REF!,"AAAAAGes85o=")</f>
        <v>#REF!</v>
      </c>
      <c r="EZ3" t="e">
        <f>AND('日本精神保健看護学会　会計報告書'!#REF!,"AAAAAGes85s=")</f>
        <v>#REF!</v>
      </c>
      <c r="FA3" t="e">
        <f>AND('日本精神保健看護学会　会計報告書'!#REF!,"AAAAAGes85w=")</f>
        <v>#REF!</v>
      </c>
      <c r="FB3" t="e">
        <f>AND('日本精神保健看護学会　会計報告書'!#REF!,"AAAAAGes850=")</f>
        <v>#REF!</v>
      </c>
      <c r="FC3" t="e">
        <f>IF('日本精神保健看護学会　会計報告書'!#REF!,"AAAAAGes854=",0)</f>
        <v>#REF!</v>
      </c>
      <c r="FD3" t="e">
        <f>AND('日本精神保健看護学会　会計報告書'!#REF!,"AAAAAGes858=")</f>
        <v>#REF!</v>
      </c>
      <c r="FE3" t="e">
        <f>AND('日本精神保健看護学会　会計報告書'!#REF!,"AAAAAGes86A=")</f>
        <v>#REF!</v>
      </c>
      <c r="FF3" t="e">
        <f>AND('日本精神保健看護学会　会計報告書'!#REF!,"AAAAAGes86E=")</f>
        <v>#REF!</v>
      </c>
      <c r="FG3" t="e">
        <f>AND('日本精神保健看護学会　会計報告書'!#REF!,"AAAAAGes86I=")</f>
        <v>#REF!</v>
      </c>
      <c r="FH3" t="e">
        <f>AND('日本精神保健看護学会　会計報告書'!#REF!,"AAAAAGes86M=")</f>
        <v>#REF!</v>
      </c>
      <c r="FI3" t="e">
        <f>AND('日本精神保健看護学会　会計報告書'!#REF!,"AAAAAGes86Q=")</f>
        <v>#REF!</v>
      </c>
      <c r="FJ3" t="e">
        <f>AND('日本精神保健看護学会　会計報告書'!#REF!,"AAAAAGes86U=")</f>
        <v>#REF!</v>
      </c>
      <c r="FK3" t="e">
        <f>AND('日本精神保健看護学会　会計報告書'!#REF!,"AAAAAGes86Y=")</f>
        <v>#REF!</v>
      </c>
      <c r="FL3" t="e">
        <f>AND('日本精神保健看護学会　会計報告書'!#REF!,"AAAAAGes86c=")</f>
        <v>#REF!</v>
      </c>
      <c r="FM3" t="e">
        <f>AND('日本精神保健看護学会　会計報告書'!#REF!,"AAAAAGes86g=")</f>
        <v>#REF!</v>
      </c>
      <c r="FN3" t="e">
        <f>IF('日本精神保健看護学会　会計報告書'!#REF!,"AAAAAGes86k=",0)</f>
        <v>#REF!</v>
      </c>
      <c r="FO3" t="e">
        <f>AND('日本精神保健看護学会　会計報告書'!#REF!,"AAAAAGes86o=")</f>
        <v>#REF!</v>
      </c>
      <c r="FP3" t="e">
        <f>AND('日本精神保健看護学会　会計報告書'!#REF!,"AAAAAGes86s=")</f>
        <v>#REF!</v>
      </c>
      <c r="FQ3" t="e">
        <f>AND('日本精神保健看護学会　会計報告書'!#REF!,"AAAAAGes86w=")</f>
        <v>#REF!</v>
      </c>
      <c r="FR3" t="e">
        <f>AND('日本精神保健看護学会　会計報告書'!#REF!,"AAAAAGes860=")</f>
        <v>#REF!</v>
      </c>
      <c r="FS3" t="e">
        <f>AND('日本精神保健看護学会　会計報告書'!#REF!,"AAAAAGes864=")</f>
        <v>#REF!</v>
      </c>
      <c r="FT3" t="e">
        <f>AND('日本精神保健看護学会　会計報告書'!#REF!,"AAAAAGes868=")</f>
        <v>#REF!</v>
      </c>
      <c r="FU3" t="e">
        <f>AND('日本精神保健看護学会　会計報告書'!#REF!,"AAAAAGes87A=")</f>
        <v>#REF!</v>
      </c>
      <c r="FV3" t="e">
        <f>AND('日本精神保健看護学会　会計報告書'!#REF!,"AAAAAGes87E=")</f>
        <v>#REF!</v>
      </c>
      <c r="FW3" t="e">
        <f>AND('日本精神保健看護学会　会計報告書'!#REF!,"AAAAAGes87I=")</f>
        <v>#REF!</v>
      </c>
      <c r="FX3" t="e">
        <f>AND('日本精神保健看護学会　会計報告書'!#REF!,"AAAAAGes87M=")</f>
        <v>#REF!</v>
      </c>
      <c r="FY3" t="e">
        <f>IF('日本精神保健看護学会　会計報告書'!#REF!,"AAAAAGes87Q=",0)</f>
        <v>#REF!</v>
      </c>
      <c r="FZ3" t="e">
        <f>AND('日本精神保健看護学会　会計報告書'!#REF!,"AAAAAGes87U=")</f>
        <v>#REF!</v>
      </c>
      <c r="GA3" t="e">
        <f>AND('日本精神保健看護学会　会計報告書'!#REF!,"AAAAAGes87Y=")</f>
        <v>#REF!</v>
      </c>
      <c r="GB3" t="e">
        <f>AND('日本精神保健看護学会　会計報告書'!#REF!,"AAAAAGes87c=")</f>
        <v>#REF!</v>
      </c>
      <c r="GC3" t="e">
        <f>AND('日本精神保健看護学会　会計報告書'!#REF!,"AAAAAGes87g=")</f>
        <v>#REF!</v>
      </c>
      <c r="GD3" t="e">
        <f>AND('日本精神保健看護学会　会計報告書'!#REF!,"AAAAAGes87k=")</f>
        <v>#REF!</v>
      </c>
      <c r="GE3" t="e">
        <f>AND('日本精神保健看護学会　会計報告書'!#REF!,"AAAAAGes87o=")</f>
        <v>#REF!</v>
      </c>
      <c r="GF3" t="e">
        <f>AND('日本精神保健看護学会　会計報告書'!#REF!,"AAAAAGes87s=")</f>
        <v>#REF!</v>
      </c>
      <c r="GG3" t="e">
        <f>AND('日本精神保健看護学会　会計報告書'!#REF!,"AAAAAGes87w=")</f>
        <v>#REF!</v>
      </c>
      <c r="GH3" t="e">
        <f>AND('日本精神保健看護学会　会計報告書'!#REF!,"AAAAAGes870=")</f>
        <v>#REF!</v>
      </c>
      <c r="GI3" t="e">
        <f>AND('日本精神保健看護学会　会計報告書'!#REF!,"AAAAAGes874=")</f>
        <v>#REF!</v>
      </c>
      <c r="GJ3" t="e">
        <f>IF('日本精神保健看護学会　会計報告書'!#REF!,"AAAAAGes878=",0)</f>
        <v>#REF!</v>
      </c>
      <c r="GK3" t="e">
        <f>AND('日本精神保健看護学会　会計報告書'!#REF!,"AAAAAGes88A=")</f>
        <v>#REF!</v>
      </c>
      <c r="GL3" t="e">
        <f>AND('日本精神保健看護学会　会計報告書'!#REF!,"AAAAAGes88E=")</f>
        <v>#REF!</v>
      </c>
      <c r="GM3" t="e">
        <f>AND('日本精神保健看護学会　会計報告書'!#REF!,"AAAAAGes88I=")</f>
        <v>#REF!</v>
      </c>
      <c r="GN3" t="e">
        <f>AND('日本精神保健看護学会　会計報告書'!#REF!,"AAAAAGes88M=")</f>
        <v>#REF!</v>
      </c>
      <c r="GO3" t="e">
        <f>AND('日本精神保健看護学会　会計報告書'!#REF!,"AAAAAGes88Q=")</f>
        <v>#REF!</v>
      </c>
      <c r="GP3" t="e">
        <f>AND('日本精神保健看護学会　会計報告書'!#REF!,"AAAAAGes88U=")</f>
        <v>#REF!</v>
      </c>
      <c r="GQ3" t="e">
        <f>AND('日本精神保健看護学会　会計報告書'!#REF!,"AAAAAGes88Y=")</f>
        <v>#REF!</v>
      </c>
      <c r="GR3" t="e">
        <f>AND('日本精神保健看護学会　会計報告書'!#REF!,"AAAAAGes88c=")</f>
        <v>#REF!</v>
      </c>
      <c r="GS3" t="e">
        <f>AND('日本精神保健看護学会　会計報告書'!#REF!,"AAAAAGes88g=")</f>
        <v>#REF!</v>
      </c>
      <c r="GT3" t="e">
        <f>AND('日本精神保健看護学会　会計報告書'!#REF!,"AAAAAGes88k=")</f>
        <v>#REF!</v>
      </c>
      <c r="GU3" t="e">
        <f>IF('日本精神保健看護学会　会計報告書'!#REF!,"AAAAAGes88o=",0)</f>
        <v>#REF!</v>
      </c>
      <c r="GV3" t="e">
        <f>AND('日本精神保健看護学会　会計報告書'!#REF!,"AAAAAGes88s=")</f>
        <v>#REF!</v>
      </c>
      <c r="GW3" t="e">
        <f>AND('日本精神保健看護学会　会計報告書'!#REF!,"AAAAAGes88w=")</f>
        <v>#REF!</v>
      </c>
      <c r="GX3" t="e">
        <f>AND('日本精神保健看護学会　会計報告書'!#REF!,"AAAAAGes880=")</f>
        <v>#REF!</v>
      </c>
      <c r="GY3" t="e">
        <f>AND('日本精神保健看護学会　会計報告書'!#REF!,"AAAAAGes884=")</f>
        <v>#REF!</v>
      </c>
      <c r="GZ3" t="e">
        <f>AND('日本精神保健看護学会　会計報告書'!#REF!,"AAAAAGes888=")</f>
        <v>#REF!</v>
      </c>
      <c r="HA3" t="e">
        <f>AND('日本精神保健看護学会　会計報告書'!#REF!,"AAAAAGes89A=")</f>
        <v>#REF!</v>
      </c>
      <c r="HB3" t="e">
        <f>AND('日本精神保健看護学会　会計報告書'!#REF!,"AAAAAGes89E=")</f>
        <v>#REF!</v>
      </c>
      <c r="HC3" t="e">
        <f>AND('日本精神保健看護学会　会計報告書'!#REF!,"AAAAAGes89I=")</f>
        <v>#REF!</v>
      </c>
      <c r="HD3" t="e">
        <f>AND('日本精神保健看護学会　会計報告書'!#REF!,"AAAAAGes89M=")</f>
        <v>#REF!</v>
      </c>
      <c r="HE3" t="e">
        <f>AND('日本精神保健看護学会　会計報告書'!#REF!,"AAAAAGes89Q=")</f>
        <v>#REF!</v>
      </c>
      <c r="HF3" t="e">
        <f>IF('日本精神保健看護学会　会計報告書'!#REF!,"AAAAAGes89U=",0)</f>
        <v>#REF!</v>
      </c>
      <c r="HG3" t="e">
        <f>AND('日本精神保健看護学会　会計報告書'!#REF!,"AAAAAGes89Y=")</f>
        <v>#REF!</v>
      </c>
      <c r="HH3" t="e">
        <f>AND('日本精神保健看護学会　会計報告書'!#REF!,"AAAAAGes89c=")</f>
        <v>#REF!</v>
      </c>
      <c r="HI3" t="e">
        <f>AND('日本精神保健看護学会　会計報告書'!#REF!,"AAAAAGes89g=")</f>
        <v>#REF!</v>
      </c>
      <c r="HJ3" t="e">
        <f>AND('日本精神保健看護学会　会計報告書'!#REF!,"AAAAAGes89k=")</f>
        <v>#REF!</v>
      </c>
      <c r="HK3" t="e">
        <f>AND('日本精神保健看護学会　会計報告書'!#REF!,"AAAAAGes89o=")</f>
        <v>#REF!</v>
      </c>
      <c r="HL3" t="e">
        <f>AND('日本精神保健看護学会　会計報告書'!#REF!,"AAAAAGes89s=")</f>
        <v>#REF!</v>
      </c>
      <c r="HM3" t="e">
        <f>AND('日本精神保健看護学会　会計報告書'!#REF!,"AAAAAGes89w=")</f>
        <v>#REF!</v>
      </c>
      <c r="HN3" t="e">
        <f>AND('日本精神保健看護学会　会計報告書'!#REF!,"AAAAAGes890=")</f>
        <v>#REF!</v>
      </c>
      <c r="HO3" t="e">
        <f>AND('日本精神保健看護学会　会計報告書'!#REF!,"AAAAAGes894=")</f>
        <v>#REF!</v>
      </c>
      <c r="HP3" t="e">
        <f>AND('日本精神保健看護学会　会計報告書'!#REF!,"AAAAAGes898=")</f>
        <v>#REF!</v>
      </c>
      <c r="HQ3">
        <f>IF('日本精神保健看護学会　会計報告書'!14:14,"AAAAAGes8+A=",0)</f>
        <v>0</v>
      </c>
      <c r="HR3" t="e">
        <f>AND('日本精神保健看護学会　会計報告書'!A14,"AAAAAGes8+E=")</f>
        <v>#VALUE!</v>
      </c>
      <c r="HS3" t="e">
        <f>AND('日本精神保健看護学会　会計報告書'!B14,"AAAAAGes8+I=")</f>
        <v>#VALUE!</v>
      </c>
      <c r="HT3" t="e">
        <f>AND('日本精神保健看護学会　会計報告書'!D14,"AAAAAGes8+M=")</f>
        <v>#VALUE!</v>
      </c>
      <c r="HU3" t="e">
        <f>AND('日本精神保健看護学会　会計報告書'!E14,"AAAAAGes8+Q=")</f>
        <v>#VALUE!</v>
      </c>
      <c r="HV3" t="e">
        <f>AND('日本精神保健看護学会　会計報告書'!F14,"AAAAAGes8+U=")</f>
        <v>#VALUE!</v>
      </c>
      <c r="HW3" t="e">
        <f>AND('日本精神保健看護学会　会計報告書'!G14,"AAAAAGes8+Y=")</f>
        <v>#VALUE!</v>
      </c>
      <c r="HX3" t="e">
        <f>AND('日本精神保健看護学会　会計報告書'!H14,"AAAAAGes8+c=")</f>
        <v>#VALUE!</v>
      </c>
      <c r="HY3" t="e">
        <f>AND('日本精神保健看護学会　会計報告書'!I14,"AAAAAGes8+g=")</f>
        <v>#VALUE!</v>
      </c>
      <c r="HZ3" t="e">
        <f>AND('日本精神保健看護学会　会計報告書'!J14,"AAAAAGes8+k=")</f>
        <v>#VALUE!</v>
      </c>
      <c r="IA3" t="e">
        <f>AND('日本精神保健看護学会　会計報告書'!K14,"AAAAAGes8+o=")</f>
        <v>#VALUE!</v>
      </c>
      <c r="IB3">
        <f>IF('日本精神保健看護学会　会計報告書'!15:15,"AAAAAGes8+s=",0)</f>
        <v>0</v>
      </c>
      <c r="IC3" t="e">
        <f>AND('日本精神保健看護学会　会計報告書'!A15,"AAAAAGes8+w=")</f>
        <v>#VALUE!</v>
      </c>
      <c r="ID3" t="e">
        <f>AND('日本精神保健看護学会　会計報告書'!B15,"AAAAAGes8+0=")</f>
        <v>#VALUE!</v>
      </c>
      <c r="IE3" t="e">
        <f>AND('日本精神保健看護学会　会計報告書'!D15,"AAAAAGes8+4=")</f>
        <v>#VALUE!</v>
      </c>
      <c r="IF3" t="e">
        <f>AND('日本精神保健看護学会　会計報告書'!E15,"AAAAAGes8+8=")</f>
        <v>#VALUE!</v>
      </c>
      <c r="IG3" t="e">
        <f>AND('日本精神保健看護学会　会計報告書'!F15,"AAAAAGes8/A=")</f>
        <v>#VALUE!</v>
      </c>
      <c r="IH3" t="e">
        <f>AND('日本精神保健看護学会　会計報告書'!G15,"AAAAAGes8/E=")</f>
        <v>#VALUE!</v>
      </c>
      <c r="II3" t="e">
        <f>AND('日本精神保健看護学会　会計報告書'!H15,"AAAAAGes8/I=")</f>
        <v>#VALUE!</v>
      </c>
      <c r="IJ3" t="e">
        <f>AND('日本精神保健看護学会　会計報告書'!I15,"AAAAAGes8/M=")</f>
        <v>#VALUE!</v>
      </c>
      <c r="IK3" t="e">
        <f>AND('日本精神保健看護学会　会計報告書'!J15,"AAAAAGes8/Q=")</f>
        <v>#VALUE!</v>
      </c>
      <c r="IL3" t="e">
        <f>AND('日本精神保健看護学会　会計報告書'!K15,"AAAAAGes8/U=")</f>
        <v>#VALUE!</v>
      </c>
      <c r="IM3">
        <f>IF('日本精神保健看護学会　会計報告書'!A:A,"AAAAAGes8/Y=",0)</f>
        <v>0</v>
      </c>
      <c r="IN3">
        <f>IF('日本精神保健看護学会　会計報告書'!B:B,"AAAAAGes8/c=",0)</f>
        <v>0</v>
      </c>
      <c r="IO3">
        <f>IF('日本精神保健看護学会　会計報告書'!D:D,"AAAAAGes8/g=",0)</f>
        <v>0</v>
      </c>
      <c r="IP3" t="e">
        <f>IF('日本精神保健看護学会　会計報告書'!E:E,"AAAAAGes8/k=",0)</f>
        <v>#VALUE!</v>
      </c>
      <c r="IQ3">
        <f>IF('日本精神保健看護学会　会計報告書'!F:F,"AAAAAGes8/o=",0)</f>
        <v>0</v>
      </c>
      <c r="IR3">
        <f>IF('日本精神保健看護学会　会計報告書'!G:G,"AAAAAGes8/s=",0)</f>
        <v>0</v>
      </c>
      <c r="IS3">
        <f>IF('日本精神保健看護学会　会計報告書'!H:H,"AAAAAGes8/w=",0)</f>
        <v>0</v>
      </c>
      <c r="IT3">
        <f>IF('日本精神保健看護学会　会計報告書'!I:I,"AAAAAGes8/0=",0)</f>
        <v>0</v>
      </c>
      <c r="IU3">
        <f>IF('日本精神保健看護学会　会計報告書'!J:J,"AAAAAGes8/4=",0)</f>
        <v>0</v>
      </c>
      <c r="IV3">
        <f>IF('日本精神保健看護学会　会計報告書'!K:K,"AAAAAGes8/8=",0)</f>
        <v>0</v>
      </c>
    </row>
    <row r="4" spans="1:256">
      <c r="A4" t="e">
        <f>IF("N",'日本精神保健看護学会　会計報告書'!_xlnm.Print_Titles,"AAAAAGd1rgA=")</f>
        <v>#VALUE!</v>
      </c>
    </row>
  </sheetData>
  <sheetCalcPr fullCalcOnLoad="1"/>
  <phoneticPr fontId="1"/>
  <pageMargins left="0.7" right="0.7" top="0.75" bottom="0.75" header="0.3" footer="0.3"/>
  <pageSetup paperSize="9" orientation="portrait" r:id="rId1"/>
  <customProperties>
    <customPr name="DVSECTION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vt:lpstr>
      <vt:lpstr>日本精神保健看護学会　会計報告書</vt:lpstr>
      <vt:lpstr>'日本精神保健看護学会　会計報告書'!Print_Titles</vt:lpstr>
    </vt:vector>
  </TitlesOfParts>
  <Company>竹内公認会計士事務所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助成金出納帳</dc:title>
  <dc:creator>西池絵衣子</dc:creator>
  <cp:lastModifiedBy>Tamaki Sono</cp:lastModifiedBy>
  <cp:lastPrinted>2016-06-30T08:29:08Z</cp:lastPrinted>
  <dcterms:created xsi:type="dcterms:W3CDTF">2001-10-03T23:40:43Z</dcterms:created>
  <dcterms:modified xsi:type="dcterms:W3CDTF">2018-11-06T08:34:34Z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1wzc9OYeO_J5dYlYC1DjlH838kUgM64ACbH4H5X-zS1U</vt:lpwstr>
  </property>
  <property fmtid="{D5CDD505-2E9C-101B-9397-08002B2CF9AE}" pid="4" name="Google.Documents.RevisionId">
    <vt:lpwstr>07607260295960098645</vt:lpwstr>
  </property>
  <property fmtid="{D5CDD505-2E9C-101B-9397-08002B2CF9AE}" pid="5" name="Google.Documents.PreviousRevisionId">
    <vt:lpwstr>04836567432826359065</vt:lpwstr>
  </property>
  <property fmtid="{D5CDD505-2E9C-101B-9397-08002B2CF9AE}" pid="6" name="Google.Documents.PluginVersion">
    <vt:lpwstr>2.0.2662.553</vt:lpwstr>
  </property>
  <property fmtid="{D5CDD505-2E9C-101B-9397-08002B2CF9AE}" pid="7" name="Google.Documents.MergeIncapabilityFlags">
    <vt:i4>0</vt:i4>
  </property>
</Properties>
</file>